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AREN DOYLE\OneDrive - Amethyst Events\Documents\CTAM Europe\AA FULL JOB. 2019 ONWARDS\FINANCE\2024\"/>
    </mc:Choice>
  </mc:AlternateContent>
  <xr:revisionPtr revIDLastSave="0" documentId="8_{C98D7838-BFDE-4177-85DF-D9EE42AFD5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3 Budget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9" i="6" l="1"/>
  <c r="AL20" i="6"/>
  <c r="AL15" i="6" s="1"/>
  <c r="AL12" i="6" s="1"/>
  <c r="AW19" i="6"/>
  <c r="AP17" i="6"/>
  <c r="AP15" i="6" s="1"/>
  <c r="AP12" i="6" s="1"/>
  <c r="AS17" i="6"/>
  <c r="AO17" i="6"/>
  <c r="AO15" i="6" s="1"/>
  <c r="AO12" i="6" s="1"/>
  <c r="AS15" i="6"/>
  <c r="AS12" i="6" s="1"/>
  <c r="AS25" i="6" s="1"/>
  <c r="AS30" i="6" s="1"/>
  <c r="AK7" i="6"/>
  <c r="AW6" i="6"/>
  <c r="AW10" i="6"/>
  <c r="AW11" i="6"/>
  <c r="AW13" i="6"/>
  <c r="AW14" i="6"/>
  <c r="AW21" i="6"/>
  <c r="AW23" i="6"/>
  <c r="AW24" i="6"/>
  <c r="AW26" i="6"/>
  <c r="AW27" i="6"/>
  <c r="AW28" i="6"/>
  <c r="AW29" i="6"/>
  <c r="AR6" i="6"/>
  <c r="AR7" i="6"/>
  <c r="AW7" i="6" s="1"/>
  <c r="AR8" i="6"/>
  <c r="AW8" i="6" s="1"/>
  <c r="AR10" i="6"/>
  <c r="AR11" i="6"/>
  <c r="AR13" i="6"/>
  <c r="AR14" i="6"/>
  <c r="AR16" i="6"/>
  <c r="AW16" i="6" s="1"/>
  <c r="AR18" i="6"/>
  <c r="AW18" i="6" s="1"/>
  <c r="AR21" i="6"/>
  <c r="AR22" i="6"/>
  <c r="AW22" i="6" s="1"/>
  <c r="AR23" i="6"/>
  <c r="AR24" i="6"/>
  <c r="AR26" i="6"/>
  <c r="AR27" i="6"/>
  <c r="AR28" i="6"/>
  <c r="AR29" i="6"/>
  <c r="AN15" i="6"/>
  <c r="AN12" i="6" s="1"/>
  <c r="AM15" i="6"/>
  <c r="AM12" i="6" s="1"/>
  <c r="AV15" i="6"/>
  <c r="AV12" i="6" s="1"/>
  <c r="AU15" i="6"/>
  <c r="AU12" i="6" s="1"/>
  <c r="AT15" i="6"/>
  <c r="AT12" i="6" s="1"/>
  <c r="AT25" i="6" s="1"/>
  <c r="AT30" i="6" s="1"/>
  <c r="AK15" i="6"/>
  <c r="AK12" i="6" s="1"/>
  <c r="AJ15" i="6"/>
  <c r="AJ12" i="6" s="1"/>
  <c r="AJ25" i="6" s="1"/>
  <c r="AJ30" i="6" s="1"/>
  <c r="AK5" i="6"/>
  <c r="AV5" i="6"/>
  <c r="AU5" i="6"/>
  <c r="AT5" i="6"/>
  <c r="AS5" i="6"/>
  <c r="AQ5" i="6"/>
  <c r="AP5" i="6"/>
  <c r="AO5" i="6"/>
  <c r="AN5" i="6"/>
  <c r="AM5" i="6"/>
  <c r="AJ5" i="6"/>
  <c r="AX5" i="6"/>
  <c r="AX15" i="6"/>
  <c r="AX12" i="6" s="1"/>
  <c r="AI7" i="6"/>
  <c r="AB17" i="6"/>
  <c r="AB19" i="6" s="1"/>
  <c r="AA17" i="6"/>
  <c r="AA19" i="6" s="1"/>
  <c r="Z17" i="6"/>
  <c r="Z19" i="6" s="1"/>
  <c r="Y17" i="6"/>
  <c r="Y19" i="6" s="1"/>
  <c r="X19" i="6"/>
  <c r="X17" i="6"/>
  <c r="W9" i="6"/>
  <c r="U16" i="6"/>
  <c r="U19" i="6"/>
  <c r="V7" i="6"/>
  <c r="AL5" i="6" l="1"/>
  <c r="AR5" i="6" s="1"/>
  <c r="AW5" i="6" s="1"/>
  <c r="AR20" i="6"/>
  <c r="AW20" i="6" s="1"/>
  <c r="AR17" i="6"/>
  <c r="AW17" i="6" s="1"/>
  <c r="AO25" i="6"/>
  <c r="AO30" i="6" s="1"/>
  <c r="AR19" i="6"/>
  <c r="AP25" i="6"/>
  <c r="AP30" i="6" s="1"/>
  <c r="AV25" i="6"/>
  <c r="AV30" i="6" s="1"/>
  <c r="AU25" i="6"/>
  <c r="AU30" i="6" s="1"/>
  <c r="AM25" i="6"/>
  <c r="AM30" i="6" s="1"/>
  <c r="AN25" i="6"/>
  <c r="AN30" i="6" s="1"/>
  <c r="AK25" i="6"/>
  <c r="AK30" i="6" s="1"/>
  <c r="AQ15" i="6"/>
  <c r="AQ12" i="6" s="1"/>
  <c r="AQ25" i="6" s="1"/>
  <c r="AX25" i="6"/>
  <c r="AX30" i="6" s="1"/>
  <c r="AG11" i="6"/>
  <c r="U15" i="6"/>
  <c r="V15" i="6"/>
  <c r="W15" i="6"/>
  <c r="W12" i="6" s="1"/>
  <c r="X15" i="6"/>
  <c r="X12" i="6" s="1"/>
  <c r="Y15" i="6"/>
  <c r="Y12" i="6" s="1"/>
  <c r="Z15" i="6"/>
  <c r="Z12" i="6" s="1"/>
  <c r="AA15" i="6"/>
  <c r="AA12" i="6" s="1"/>
  <c r="AB15" i="6"/>
  <c r="AB12" i="6" s="1"/>
  <c r="AD15" i="6"/>
  <c r="AE15" i="6"/>
  <c r="AE12" i="6" s="1"/>
  <c r="AG7" i="6"/>
  <c r="AG6" i="6"/>
  <c r="AC17" i="6"/>
  <c r="AC15" i="6" s="1"/>
  <c r="AG19" i="6"/>
  <c r="AG22" i="6"/>
  <c r="AG29" i="6"/>
  <c r="AG28" i="6"/>
  <c r="AG27" i="6"/>
  <c r="AG26" i="6"/>
  <c r="AG24" i="6"/>
  <c r="AG23" i="6"/>
  <c r="AG21" i="6"/>
  <c r="AG18" i="6"/>
  <c r="AG16" i="6"/>
  <c r="AF15" i="6"/>
  <c r="AF12" i="6" s="1"/>
  <c r="AD12" i="6"/>
  <c r="AD25" i="6" s="1"/>
  <c r="AD30" i="6" s="1"/>
  <c r="AG14" i="6"/>
  <c r="AG13" i="6"/>
  <c r="AG10" i="6"/>
  <c r="AG8" i="6"/>
  <c r="AF5" i="6"/>
  <c r="AE5" i="6"/>
  <c r="AD5" i="6"/>
  <c r="AC5" i="6"/>
  <c r="AB5" i="6"/>
  <c r="AA5" i="6"/>
  <c r="Z5" i="6"/>
  <c r="Y5" i="6"/>
  <c r="X5" i="6"/>
  <c r="V5" i="6"/>
  <c r="U5" i="6"/>
  <c r="AL25" i="6" l="1"/>
  <c r="AL30" i="6" s="1"/>
  <c r="AR9" i="6"/>
  <c r="AW9" i="6" s="1"/>
  <c r="AR15" i="6"/>
  <c r="AW15" i="6" s="1"/>
  <c r="AR12" i="6"/>
  <c r="AW12" i="6" s="1"/>
  <c r="AQ30" i="6"/>
  <c r="AB25" i="6"/>
  <c r="AB30" i="6" s="1"/>
  <c r="AA25" i="6"/>
  <c r="AA30" i="6" s="1"/>
  <c r="AG17" i="6"/>
  <c r="Y25" i="6"/>
  <c r="Y30" i="6" s="1"/>
  <c r="X25" i="6"/>
  <c r="X30" i="6" s="1"/>
  <c r="AE25" i="6"/>
  <c r="AE30" i="6" s="1"/>
  <c r="AF25" i="6"/>
  <c r="AF30" i="6" s="1"/>
  <c r="Z25" i="6"/>
  <c r="Z30" i="6" s="1"/>
  <c r="AG9" i="6"/>
  <c r="W5" i="6"/>
  <c r="AC12" i="6"/>
  <c r="AC25" i="6" s="1"/>
  <c r="AC30" i="6" s="1"/>
  <c r="V12" i="6"/>
  <c r="V25" i="6" s="1"/>
  <c r="V30" i="6" s="1"/>
  <c r="AG20" i="6"/>
  <c r="AR25" i="6" l="1"/>
  <c r="AW25" i="6" s="1"/>
  <c r="AR30" i="6"/>
  <c r="AW30" i="6" s="1"/>
  <c r="AG5" i="6"/>
  <c r="W25" i="6"/>
  <c r="W30" i="6" s="1"/>
  <c r="AG15" i="6" l="1"/>
  <c r="AG12" i="6" s="1"/>
  <c r="AG25" i="6" s="1"/>
  <c r="AG30" i="6" s="1"/>
  <c r="U12" i="6"/>
  <c r="U25" i="6" s="1"/>
  <c r="U30" i="6" s="1"/>
  <c r="T9" i="6" l="1"/>
  <c r="T5" i="6" s="1"/>
  <c r="T20" i="6"/>
  <c r="T17" i="6"/>
  <c r="T15" i="6" l="1"/>
  <c r="T12" i="6" s="1"/>
  <c r="T25" i="6" s="1"/>
  <c r="T30" i="6" s="1"/>
  <c r="O17" i="6"/>
  <c r="O19" i="6" s="1"/>
  <c r="N17" i="6"/>
  <c r="N19" i="6" s="1"/>
  <c r="M17" i="6"/>
  <c r="M19" i="6" s="1"/>
  <c r="I20" i="6"/>
  <c r="I9" i="6" s="1"/>
  <c r="L17" i="6" l="1"/>
  <c r="L19" i="6" s="1"/>
  <c r="K17" i="6"/>
  <c r="K19" i="6" s="1"/>
  <c r="J17" i="6"/>
  <c r="J19" i="6" s="1"/>
  <c r="I19" i="6" l="1"/>
  <c r="I17" i="6"/>
  <c r="H17" i="6"/>
  <c r="H19" i="6" s="1"/>
  <c r="H7" i="6"/>
  <c r="G17" i="6"/>
  <c r="G19" i="6" s="1"/>
  <c r="S7" i="6"/>
  <c r="H5" i="6" l="1"/>
  <c r="E15" i="6"/>
  <c r="E12" i="6" s="1"/>
  <c r="E25" i="6" s="1"/>
  <c r="E30" i="6" s="1"/>
  <c r="G5" i="6"/>
  <c r="I5" i="6"/>
  <c r="J5" i="6"/>
  <c r="K5" i="6"/>
  <c r="L5" i="6"/>
  <c r="M5" i="6"/>
  <c r="N5" i="6"/>
  <c r="O5" i="6"/>
  <c r="P5" i="6"/>
  <c r="Q5" i="6"/>
  <c r="R5" i="6"/>
  <c r="G15" i="6"/>
  <c r="G12" i="6" s="1"/>
  <c r="G25" i="6" s="1"/>
  <c r="G30" i="6" s="1"/>
  <c r="H15" i="6"/>
  <c r="H12" i="6" s="1"/>
  <c r="I15" i="6"/>
  <c r="I12" i="6" s="1"/>
  <c r="J15" i="6"/>
  <c r="J12" i="6" s="1"/>
  <c r="L15" i="6"/>
  <c r="L12" i="6" s="1"/>
  <c r="M15" i="6"/>
  <c r="M12" i="6" s="1"/>
  <c r="O15" i="6"/>
  <c r="O12" i="6" s="1"/>
  <c r="P15" i="6"/>
  <c r="P12" i="6" s="1"/>
  <c r="Q15" i="6"/>
  <c r="Q12" i="6" s="1"/>
  <c r="R15" i="6"/>
  <c r="R12" i="6" s="1"/>
  <c r="N15" i="6"/>
  <c r="N12" i="6" s="1"/>
  <c r="S21" i="6"/>
  <c r="S29" i="6"/>
  <c r="S28" i="6"/>
  <c r="S27" i="6"/>
  <c r="S26" i="6"/>
  <c r="S24" i="6"/>
  <c r="S23" i="6"/>
  <c r="S18" i="6"/>
  <c r="S16" i="6"/>
  <c r="S14" i="6"/>
  <c r="S13" i="6"/>
  <c r="S11" i="6"/>
  <c r="S10" i="6"/>
  <c r="S8" i="6"/>
  <c r="S6" i="6"/>
  <c r="N25" i="6" l="1"/>
  <c r="N30" i="6" s="1"/>
  <c r="J25" i="6"/>
  <c r="J30" i="6" s="1"/>
  <c r="R25" i="6"/>
  <c r="R30" i="6" s="1"/>
  <c r="M25" i="6"/>
  <c r="M30" i="6" s="1"/>
  <c r="I25" i="6"/>
  <c r="I30" i="6" s="1"/>
  <c r="Q25" i="6"/>
  <c r="Q30" i="6" s="1"/>
  <c r="O25" i="6"/>
  <c r="O30" i="6" s="1"/>
  <c r="P25" i="6"/>
  <c r="P30" i="6" s="1"/>
  <c r="L25" i="6"/>
  <c r="L30" i="6" s="1"/>
  <c r="H25" i="6"/>
  <c r="H30" i="6" s="1"/>
  <c r="S9" i="6"/>
  <c r="S20" i="6"/>
  <c r="S17" i="6"/>
  <c r="S5" i="6"/>
  <c r="S19" i="6" l="1"/>
  <c r="K15" i="6"/>
  <c r="S15" i="6" s="1"/>
  <c r="S12" i="6" s="1"/>
  <c r="S25" i="6" s="1"/>
  <c r="S30" i="6" s="1"/>
  <c r="K12" i="6" l="1"/>
  <c r="K25" i="6" s="1"/>
  <c r="K30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Michiel Sanson</author>
  </authors>
  <commentList>
    <comment ref="H7" authorId="0" shapeId="0" xr:uid="{9705FEBF-4A07-47AE-AA86-A84AF8A88306}">
      <text>
        <r>
          <rPr>
            <b/>
            <sz val="9"/>
            <color indexed="81"/>
            <rFont val="Tahoma"/>
            <family val="2"/>
          </rPr>
          <t>Michiel Sanson:</t>
        </r>
        <r>
          <rPr>
            <sz val="9"/>
            <color indexed="81"/>
            <rFont val="Tahoma"/>
            <family val="2"/>
          </rPr>
          <t xml:space="preserve">
strategyanalytic added, paid Jan 20 4944
Deezer added 4950
Arris paid 2500 27 jan
Tech4Home pd 4950 Mar 8
Plume pd 4919 Mar 18</t>
        </r>
      </text>
    </comment>
    <comment ref="I7" authorId="0" shapeId="0" xr:uid="{CE290884-B551-4045-AAAD-DE9DBF1F5185}">
      <text>
        <r>
          <rPr>
            <b/>
            <sz val="9"/>
            <color indexed="81"/>
            <rFont val="Tahoma"/>
            <family val="2"/>
          </rPr>
          <t>Michiel Sanson:</t>
        </r>
        <r>
          <rPr>
            <sz val="9"/>
            <color indexed="81"/>
            <rFont val="Tahoma"/>
            <family val="2"/>
          </rPr>
          <t xml:space="preserve">
Liberty Global Paid Mar 3</t>
        </r>
      </text>
    </comment>
    <comment ref="J7" authorId="0" shapeId="0" xr:uid="{FA5024F7-E21A-4C32-9FF2-56A37F4F4FC3}">
      <text>
        <r>
          <rPr>
            <b/>
            <sz val="9"/>
            <color indexed="81"/>
            <rFont val="Tahoma"/>
            <family val="2"/>
          </rPr>
          <t>Michiel Sanson:</t>
        </r>
        <r>
          <rPr>
            <sz val="9"/>
            <color indexed="81"/>
            <rFont val="Tahoma"/>
            <family val="2"/>
          </rPr>
          <t xml:space="preserve">
Deezer pd 6/1</t>
        </r>
      </text>
    </comment>
    <comment ref="L7" authorId="0" shapeId="0" xr:uid="{7761A081-C06A-4993-B17F-B298AFD68EAA}">
      <text>
        <r>
          <rPr>
            <b/>
            <sz val="9"/>
            <color indexed="81"/>
            <rFont val="Tahoma"/>
            <family val="2"/>
          </rPr>
          <t>Michiel Sanson:</t>
        </r>
        <r>
          <rPr>
            <sz val="9"/>
            <color indexed="81"/>
            <rFont val="Tahoma"/>
            <family val="2"/>
          </rPr>
          <t xml:space="preserve">
Shorts Int'l paid June 27</t>
        </r>
      </text>
    </comment>
    <comment ref="V7" authorId="0" shapeId="0" xr:uid="{038E6B06-FCFC-41D6-A72D-D06313A0729F}">
      <text>
        <r>
          <rPr>
            <b/>
            <sz val="9"/>
            <color indexed="81"/>
            <rFont val="Tahoma"/>
            <family val="2"/>
          </rPr>
          <t>Michiel Sanson:</t>
        </r>
        <r>
          <rPr>
            <sz val="9"/>
            <color indexed="81"/>
            <rFont val="Tahoma"/>
            <family val="2"/>
          </rPr>
          <t xml:space="preserve">
Altman Solon 2500, Wunderman 3025, Deezer 4950, Melita 2100, Arris/Commscope 2500+8000TBD</t>
        </r>
      </text>
    </comment>
    <comment ref="W7" authorId="0" shapeId="0" xr:uid="{2ADAB6B4-66CA-437C-AA2D-FBBFBD3869FD}">
      <text>
        <r>
          <rPr>
            <b/>
            <sz val="9"/>
            <color indexed="81"/>
            <rFont val="Tahoma"/>
            <charset val="1"/>
          </rPr>
          <t>Michiel Sanson:</t>
        </r>
        <r>
          <rPr>
            <sz val="9"/>
            <color indexed="81"/>
            <rFont val="Tahoma"/>
            <charset val="1"/>
          </rPr>
          <t xml:space="preserve">
Liberty paid June 9</t>
        </r>
      </text>
    </comment>
    <comment ref="X7" authorId="0" shapeId="0" xr:uid="{9C3F479B-A353-4941-A0E5-CD442F289A8C}">
      <text>
        <r>
          <rPr>
            <b/>
            <sz val="9"/>
            <color indexed="81"/>
            <rFont val="Tahoma"/>
            <charset val="1"/>
          </rPr>
          <t>Michiel Sanson:</t>
        </r>
        <r>
          <rPr>
            <sz val="9"/>
            <color indexed="81"/>
            <rFont val="Tahoma"/>
            <charset val="1"/>
          </rPr>
          <t xml:space="preserve">
Tech4Home pd 4950 on Sep 11 23
</t>
        </r>
      </text>
    </comment>
    <comment ref="J8" authorId="0" shapeId="0" xr:uid="{997CE22F-1798-4FEA-8A14-7917019CDFE1}">
      <text>
        <r>
          <rPr>
            <b/>
            <sz val="9"/>
            <color indexed="81"/>
            <rFont val="Tahoma"/>
            <family val="2"/>
          </rPr>
          <t>Michiel Sanson:</t>
        </r>
        <r>
          <rPr>
            <sz val="9"/>
            <color indexed="81"/>
            <rFont val="Tahoma"/>
            <family val="2"/>
          </rPr>
          <t xml:space="preserve">
Warner Media cancelled</t>
        </r>
      </text>
    </comment>
    <comment ref="I9" authorId="0" shapeId="0" xr:uid="{74A953EE-061D-4825-A845-328ED6960E21}">
      <text>
        <r>
          <rPr>
            <b/>
            <sz val="9"/>
            <color indexed="81"/>
            <rFont val="Tahoma"/>
            <family val="2"/>
          </rPr>
          <t>Michiel Sanson:</t>
        </r>
        <r>
          <rPr>
            <sz val="9"/>
            <color indexed="81"/>
            <rFont val="Tahoma"/>
            <family val="2"/>
          </rPr>
          <t xml:space="preserve">
program fees + 95,518</t>
        </r>
      </text>
    </comment>
    <comment ref="W9" authorId="0" shapeId="0" xr:uid="{E06BC568-20C5-4FCC-B8FC-A3285E8A4303}">
      <text>
        <r>
          <rPr>
            <b/>
            <sz val="9"/>
            <color indexed="81"/>
            <rFont val="Tahoma"/>
            <charset val="1"/>
          </rPr>
          <t>Michiel Sanson:</t>
        </r>
        <r>
          <rPr>
            <sz val="9"/>
            <color indexed="81"/>
            <rFont val="Tahoma"/>
            <charset val="1"/>
          </rPr>
          <t xml:space="preserve">
Need to actualize INSEAD revenues and costs ("profit" is correct)</t>
        </r>
      </text>
    </comment>
    <comment ref="N17" authorId="0" shapeId="0" xr:uid="{BAE50D37-8B60-4634-BB36-7DAB0F3C1E22}">
      <text>
        <r>
          <rPr>
            <b/>
            <sz val="9"/>
            <color indexed="81"/>
            <rFont val="Tahoma"/>
            <family val="2"/>
          </rPr>
          <t>Michiel Sanson:</t>
        </r>
        <r>
          <rPr>
            <sz val="9"/>
            <color indexed="81"/>
            <rFont val="Tahoma"/>
            <family val="2"/>
          </rPr>
          <t xml:space="preserve">
excludes accounting fees</t>
        </r>
      </text>
    </comment>
    <comment ref="U17" authorId="0" shapeId="0" xr:uid="{9B87301E-5F02-4668-B8DE-1AC65F24C582}">
      <text>
        <r>
          <rPr>
            <b/>
            <sz val="9"/>
            <color indexed="81"/>
            <rFont val="Tahoma"/>
            <family val="2"/>
          </rPr>
          <t>Michiel Sanson:</t>
        </r>
        <r>
          <rPr>
            <sz val="9"/>
            <color indexed="81"/>
            <rFont val="Tahoma"/>
            <family val="2"/>
          </rPr>
          <t xml:space="preserve">
Pd</t>
        </r>
      </text>
    </comment>
    <comment ref="V17" authorId="0" shapeId="0" xr:uid="{D1B42A12-8B66-4A68-BF12-F02C9D6F5128}">
      <text>
        <r>
          <rPr>
            <b/>
            <sz val="9"/>
            <color indexed="81"/>
            <rFont val="Tahoma"/>
            <family val="2"/>
          </rPr>
          <t>Michiel Sanson:</t>
        </r>
        <r>
          <rPr>
            <sz val="9"/>
            <color indexed="81"/>
            <rFont val="Tahoma"/>
            <family val="2"/>
          </rPr>
          <t xml:space="preserve">
Pd</t>
        </r>
      </text>
    </comment>
    <comment ref="W17" authorId="0" shapeId="0" xr:uid="{AC9CFC68-3CB2-4F75-924A-8463F4FA78D2}">
      <text>
        <r>
          <rPr>
            <b/>
            <sz val="9"/>
            <color indexed="81"/>
            <rFont val="Tahoma"/>
            <family val="2"/>
          </rPr>
          <t>Michiel Sanson:</t>
        </r>
        <r>
          <rPr>
            <sz val="9"/>
            <color indexed="81"/>
            <rFont val="Tahoma"/>
            <family val="2"/>
          </rPr>
          <t xml:space="preserve">
Pd</t>
        </r>
      </text>
    </comment>
    <comment ref="X17" authorId="0" shapeId="0" xr:uid="{ECB9CB42-5E3E-4DA8-882D-FBD1D9808EC6}">
      <text>
        <r>
          <rPr>
            <b/>
            <sz val="9"/>
            <color indexed="81"/>
            <rFont val="Tahoma"/>
            <charset val="1"/>
          </rPr>
          <t>Michiel Sanson:</t>
        </r>
        <r>
          <rPr>
            <sz val="9"/>
            <color indexed="81"/>
            <rFont val="Tahoma"/>
            <charset val="1"/>
          </rPr>
          <t xml:space="preserve">
Pd 5.5.  Confirm allocation from invoice</t>
        </r>
      </text>
    </comment>
    <comment ref="AO17" authorId="0" shapeId="0" xr:uid="{11F8B80A-5D64-4096-9C47-C6888FDD98FF}">
      <text>
        <r>
          <rPr>
            <b/>
            <sz val="9"/>
            <color indexed="81"/>
            <rFont val="Tahoma"/>
            <family val="2"/>
          </rPr>
          <t>Michiel Sanson:</t>
        </r>
        <r>
          <rPr>
            <sz val="9"/>
            <color indexed="81"/>
            <rFont val="Tahoma"/>
            <family val="2"/>
          </rPr>
          <t xml:space="preserve">
Includes 10K legal</t>
        </r>
      </text>
    </comment>
    <comment ref="AP17" authorId="0" shapeId="0" xr:uid="{4DD9BD04-97B3-4AE1-8B0E-AAE0C0329D33}">
      <text>
        <r>
          <rPr>
            <b/>
            <sz val="9"/>
            <color indexed="81"/>
            <rFont val="Tahoma"/>
            <family val="2"/>
          </rPr>
          <t>Michiel Sanson:</t>
        </r>
        <r>
          <rPr>
            <sz val="9"/>
            <color indexed="81"/>
            <rFont val="Tahoma"/>
            <family val="2"/>
          </rPr>
          <t xml:space="preserve">
Includes 1.2K accounting</t>
        </r>
      </text>
    </comment>
    <comment ref="H18" authorId="0" shapeId="0" xr:uid="{5D758E3C-B907-4710-89D6-0B41501D124A}">
      <text>
        <r>
          <rPr>
            <b/>
            <sz val="9"/>
            <color indexed="81"/>
            <rFont val="Tahoma"/>
            <family val="2"/>
          </rPr>
          <t>Michiel Sanson:</t>
        </r>
        <r>
          <rPr>
            <sz val="9"/>
            <color indexed="81"/>
            <rFont val="Tahoma"/>
            <family val="2"/>
          </rPr>
          <t xml:space="preserve">
Pd Feb 25</t>
        </r>
      </text>
    </comment>
    <comment ref="V18" authorId="0" shapeId="0" xr:uid="{E10873E8-E250-4CE7-A743-CD704D3545A2}">
      <text>
        <r>
          <rPr>
            <b/>
            <sz val="9"/>
            <color indexed="81"/>
            <rFont val="Tahoma"/>
            <charset val="1"/>
          </rPr>
          <t>Michiel Sanson:</t>
        </r>
        <r>
          <rPr>
            <sz val="9"/>
            <color indexed="81"/>
            <rFont val="Tahoma"/>
            <charset val="1"/>
          </rPr>
          <t xml:space="preserve">
Pd 31.5</t>
        </r>
      </text>
    </comment>
    <comment ref="AC18" authorId="0" shapeId="0" xr:uid="{581BCBFC-A26A-4105-8630-4F1172ADC429}">
      <text>
        <r>
          <rPr>
            <b/>
            <sz val="9"/>
            <color indexed="81"/>
            <rFont val="Tahoma"/>
            <charset val="1"/>
          </rPr>
          <t>Michiel Sanson:</t>
        </r>
        <r>
          <rPr>
            <sz val="9"/>
            <color indexed="81"/>
            <rFont val="Tahoma"/>
            <charset val="1"/>
          </rPr>
          <t xml:space="preserve">
pd 19.6</t>
        </r>
      </text>
    </comment>
    <comment ref="Y19" authorId="0" shapeId="0" xr:uid="{B06931DE-4BA5-49B5-8435-8191C5645939}">
      <text>
        <r>
          <rPr>
            <b/>
            <sz val="9"/>
            <color indexed="81"/>
            <rFont val="Tahoma"/>
            <charset val="1"/>
          </rPr>
          <t>Michiel Sanson:</t>
        </r>
        <r>
          <rPr>
            <sz val="9"/>
            <color indexed="81"/>
            <rFont val="Tahoma"/>
            <charset val="1"/>
          </rPr>
          <t xml:space="preserve">
Includes INSEAD video &amp; brochures</t>
        </r>
      </text>
    </comment>
    <comment ref="I20" authorId="0" shapeId="0" xr:uid="{7730B3D9-10C8-4DA7-AE0A-C0932A403AE9}">
      <text>
        <r>
          <rPr>
            <b/>
            <sz val="9"/>
            <color indexed="81"/>
            <rFont val="Tahoma"/>
            <family val="2"/>
          </rPr>
          <t>Michiel Sanson:</t>
        </r>
        <r>
          <rPr>
            <sz val="9"/>
            <color indexed="81"/>
            <rFont val="Tahoma"/>
            <family val="2"/>
          </rPr>
          <t xml:space="preserve">
191,5 program fees, 3720 invoicing, 16,0 meeting package x 32
</t>
        </r>
      </text>
    </comment>
    <comment ref="W20" authorId="0" shapeId="0" xr:uid="{1284FE50-C905-4FB8-853E-0ED33748162E}">
      <text>
        <r>
          <rPr>
            <b/>
            <sz val="9"/>
            <color indexed="81"/>
            <rFont val="Tahoma"/>
            <charset val="1"/>
          </rPr>
          <t>Michiel Sanson:</t>
        </r>
        <r>
          <rPr>
            <sz val="9"/>
            <color indexed="81"/>
            <rFont val="Tahoma"/>
            <charset val="1"/>
          </rPr>
          <t xml:space="preserve">
5640 aleady
 billed</t>
        </r>
      </text>
    </comment>
  </commentList>
</comments>
</file>

<file path=xl/sharedStrings.xml><?xml version="1.0" encoding="utf-8"?>
<sst xmlns="http://schemas.openxmlformats.org/spreadsheetml/2006/main" count="112" uniqueCount="58">
  <si>
    <t xml:space="preserve"> RESULTS</t>
  </si>
  <si>
    <t>OPERATING INCOME</t>
  </si>
  <si>
    <t>OPERATING CHARGES</t>
  </si>
  <si>
    <t>SERVICES (meetings, travel, ext assistance)</t>
  </si>
  <si>
    <t xml:space="preserve">        OFFICE EXTERNAL ASSISTANCE</t>
  </si>
  <si>
    <t xml:space="preserve"> OFFICE EXPENSES</t>
  </si>
  <si>
    <t>REMUNERATION EXPENSES</t>
  </si>
  <si>
    <t>GENERAL EXPENSES</t>
  </si>
  <si>
    <t>OPERATING PROFIT</t>
  </si>
  <si>
    <t>FINANCIAL RESULT</t>
  </si>
  <si>
    <t xml:space="preserve"> FINANCIAL INCOME</t>
  </si>
  <si>
    <t xml:space="preserve"> FINANCIAL CHARGES</t>
  </si>
  <si>
    <t xml:space="preserve">        MEETINGS AND TRAVEL EXPENSES</t>
  </si>
  <si>
    <t xml:space="preserve">  TAXES</t>
  </si>
  <si>
    <t xml:space="preserve">  DEPRECIATIONS</t>
  </si>
  <si>
    <t>STRATEGIC PARTNERSHIP</t>
  </si>
  <si>
    <t>ASSOCIATE MEMBERSHIP PROGRAM</t>
  </si>
  <si>
    <t>CTAM EUROPE EXED PROGRAM</t>
  </si>
  <si>
    <t>OTHER / SPONSORED WORKSHOPS</t>
  </si>
  <si>
    <t>CTAM EUROPE MEMBERSHIP FEES</t>
  </si>
  <si>
    <t xml:space="preserve">        COMMS SUPPORT / MARCOMMS</t>
  </si>
  <si>
    <t xml:space="preserve">        EXECUTIVE EDUCATION PROGRAM</t>
  </si>
  <si>
    <t>EXTRAORDINARY RESULTS</t>
  </si>
  <si>
    <t xml:space="preserve"> EVENTS</t>
  </si>
  <si>
    <t xml:space="preserve">        CONTRIBUTIONS TO ORGANISATIONS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</si>
  <si>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</si>
  <si>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</si>
  <si>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</si>
  <si>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</si>
  <si>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</si>
  <si>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</si>
  <si>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</si>
  <si>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</si>
  <si>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</si>
  <si>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</si>
  <si>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</si>
  <si>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</si>
  <si>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FCST</t>
  </si>
  <si>
    <t>BUDGET</t>
  </si>
  <si>
    <t>Total 2021</t>
  </si>
  <si>
    <t>Total 2022</t>
  </si>
  <si>
    <t>CONGRESS (GIGA EUROPE)</t>
  </si>
  <si>
    <t>2023</t>
  </si>
  <si>
    <t>Total 2023</t>
  </si>
  <si>
    <t>2024 Budget Direction</t>
  </si>
  <si>
    <t>Same</t>
  </si>
  <si>
    <t>Same (check 2023 #s)</t>
  </si>
  <si>
    <t>22-32, likely 28, 35 max</t>
  </si>
  <si>
    <t>April CTAME event</t>
  </si>
  <si>
    <t>17500 (pay for venue)</t>
  </si>
  <si>
    <t>do cost for 28 people</t>
  </si>
  <si>
    <t>2024 Prelim</t>
  </si>
  <si>
    <t>Budget</t>
  </si>
  <si>
    <t>CTAM EUROPE BUDGET 2014</t>
  </si>
  <si>
    <t>2024 NOTES</t>
  </si>
  <si>
    <t>Jan-Aug Total</t>
  </si>
  <si>
    <t>2024 Total</t>
  </si>
  <si>
    <t>February 14,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</si>
</sst>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B_F_-;\-* #,##0\ _B_F_-;_-* &quot;-&quot;??\ _B_F_-;_-@_-"/>
    <numFmt numFmtId="166" formatCode="_([$€-2]* #,##0.00_);_([$€-2]* \(#,##0.00\);_([$€-2]* &quot;-&quot;??_)"/>
    <numFmt numFmtId="167" formatCode="_([$€-2]\ * #,##0.00_);_([$€-2]\ * \(#,##0.00\);_([$€-2]\ 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name val="Calibri"/>
      <family val="2"/>
    </font>
    <font>
      <b/>
      <sz val="12"/>
      <color rgb="FFFFFFFF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Calibri"/>
      <family val="2"/>
    </font>
    <font>
      <b/>
      <sz val="10"/>
      <color theme="1" tint="0.14999847407452621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sz val="8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3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ck">
        <color theme="0"/>
      </right>
      <top style="thin">
        <color rgb="FF333399"/>
      </top>
      <bottom style="double">
        <color rgb="FF333399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n">
        <color indexed="62"/>
      </bottom>
      <diagonal/>
    </border>
    <border>
      <left/>
      <right/>
      <top style="thin">
        <color theme="3"/>
      </top>
      <bottom style="double">
        <color theme="3"/>
      </bottom>
      <diagonal/>
    </border>
    <border>
      <left style="thick">
        <color theme="0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  <xf numFmtId="166" fontId="16" fillId="0" borderId="0" applyFont="0" applyFill="0" applyBorder="0" applyAlignment="0" applyProtection="0"/>
  </cellStyleXfs>
  <cellXfs count="72">
    <xf numFmtId="0" fontId="0" fillId="0" borderId="0" xfId="0"/>
    <xf numFmtId="165" fontId="3" fillId="6" borderId="0" xfId="1" applyNumberFormat="1" applyFont="1" applyFill="1" applyBorder="1" applyAlignment="1">
      <alignment vertical="center"/>
    </xf>
    <xf numFmtId="165" fontId="4" fillId="0" borderId="0" xfId="1" applyNumberFormat="1" applyFont="1" applyAlignment="1">
      <alignment horizontal="center" vertical="center"/>
    </xf>
    <xf numFmtId="0" fontId="0" fillId="0" borderId="0" xfId="0" applyAlignment="1">
      <alignment vertical="center"/>
    </xf>
    <xf numFmtId="165" fontId="12" fillId="0" borderId="2" xfId="1" applyNumberFormat="1" applyFont="1" applyBorder="1" applyAlignment="1">
      <alignment vertical="center"/>
    </xf>
    <xf numFmtId="165" fontId="3" fillId="0" borderId="5" xfId="1" applyNumberFormat="1" applyFont="1" applyFill="1" applyBorder="1" applyAlignment="1">
      <alignment vertical="center"/>
    </xf>
    <xf numFmtId="165" fontId="10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0" borderId="0" xfId="1" applyNumberFormat="1" applyFont="1" applyAlignment="1">
      <alignment vertical="center"/>
    </xf>
    <xf numFmtId="165" fontId="13" fillId="0" borderId="0" xfId="1" applyNumberFormat="1" applyFont="1" applyBorder="1" applyAlignment="1">
      <alignment vertical="center"/>
    </xf>
    <xf numFmtId="165" fontId="11" fillId="0" borderId="0" xfId="1" applyNumberFormat="1" applyFont="1" applyFill="1" applyBorder="1" applyAlignment="1">
      <alignment horizontal="center" vertical="center"/>
    </xf>
    <xf numFmtId="165" fontId="5" fillId="0" borderId="0" xfId="4" applyNumberFormat="1" applyFont="1" applyFill="1" applyBorder="1" applyAlignment="1">
      <alignment horizontal="center" vertical="center"/>
    </xf>
    <xf numFmtId="165" fontId="7" fillId="0" borderId="0" xfId="5" applyNumberFormat="1" applyFont="1" applyFill="1" applyBorder="1" applyAlignment="1">
      <alignment vertical="center"/>
    </xf>
    <xf numFmtId="165" fontId="8" fillId="0" borderId="0" xfId="5" applyNumberFormat="1" applyFont="1" applyFill="1" applyBorder="1" applyAlignment="1">
      <alignment vertical="center"/>
    </xf>
    <xf numFmtId="165" fontId="14" fillId="0" borderId="0" xfId="5" applyNumberFormat="1" applyFont="1" applyFill="1" applyBorder="1" applyAlignment="1">
      <alignment vertical="center"/>
    </xf>
    <xf numFmtId="165" fontId="7" fillId="0" borderId="0" xfId="5" applyNumberFormat="1" applyFont="1" applyFill="1" applyBorder="1" applyAlignment="1">
      <alignment horizontal="center" vertical="center"/>
    </xf>
    <xf numFmtId="165" fontId="8" fillId="0" borderId="0" xfId="5" applyNumberFormat="1" applyFont="1" applyFill="1" applyBorder="1" applyAlignment="1">
      <alignment horizontal="right" vertical="center"/>
    </xf>
    <xf numFmtId="165" fontId="4" fillId="0" borderId="0" xfId="1" applyNumberFormat="1" applyFont="1" applyFill="1" applyBorder="1" applyAlignment="1">
      <alignment vertical="center"/>
    </xf>
    <xf numFmtId="165" fontId="4" fillId="10" borderId="0" xfId="1" applyNumberFormat="1" applyFont="1" applyFill="1" applyBorder="1" applyAlignment="1">
      <alignment vertical="center"/>
    </xf>
    <xf numFmtId="165" fontId="3" fillId="10" borderId="0" xfId="1" applyNumberFormat="1" applyFont="1" applyFill="1" applyBorder="1" applyAlignment="1">
      <alignment vertical="center"/>
    </xf>
    <xf numFmtId="165" fontId="12" fillId="10" borderId="0" xfId="1" applyNumberFormat="1" applyFont="1" applyFill="1" applyBorder="1" applyAlignment="1">
      <alignment vertical="center"/>
    </xf>
    <xf numFmtId="0" fontId="0" fillId="10" borderId="0" xfId="0" applyFill="1" applyAlignment="1">
      <alignment vertical="center"/>
    </xf>
    <xf numFmtId="165" fontId="10" fillId="10" borderId="0" xfId="1" applyNumberFormat="1" applyFont="1" applyFill="1" applyBorder="1" applyAlignment="1">
      <alignment vertical="center"/>
    </xf>
    <xf numFmtId="165" fontId="13" fillId="10" borderId="0" xfId="1" applyNumberFormat="1" applyFont="1" applyFill="1" applyBorder="1" applyAlignment="1">
      <alignment vertical="center"/>
    </xf>
    <xf numFmtId="3" fontId="8" fillId="9" borderId="0" xfId="5" applyNumberFormat="1" applyFont="1" applyFill="1" applyBorder="1" applyAlignment="1">
      <alignment horizontal="right" vertical="center"/>
    </xf>
    <xf numFmtId="3" fontId="7" fillId="9" borderId="0" xfId="5" applyNumberFormat="1" applyFont="1" applyFill="1" applyBorder="1" applyAlignment="1">
      <alignment horizontal="right" vertical="center"/>
    </xf>
    <xf numFmtId="165" fontId="5" fillId="8" borderId="0" xfId="4" applyNumberFormat="1" applyFont="1" applyFill="1" applyBorder="1" applyAlignment="1">
      <alignment horizontal="right"/>
    </xf>
    <xf numFmtId="3" fontId="7" fillId="9" borderId="6" xfId="5" applyNumberFormat="1" applyFont="1" applyFill="1" applyBorder="1" applyAlignment="1">
      <alignment horizontal="right" vertical="center"/>
    </xf>
    <xf numFmtId="3" fontId="7" fillId="7" borderId="4" xfId="5" applyNumberFormat="1" applyFont="1" applyFill="1" applyBorder="1" applyAlignment="1">
      <alignment horizontal="right" vertical="center"/>
    </xf>
    <xf numFmtId="3" fontId="8" fillId="7" borderId="0" xfId="5" applyNumberFormat="1" applyFont="1" applyFill="1" applyBorder="1" applyAlignment="1">
      <alignment horizontal="right" vertical="center"/>
    </xf>
    <xf numFmtId="3" fontId="7" fillId="9" borderId="4" xfId="5" applyNumberFormat="1" applyFont="1" applyFill="1" applyBorder="1" applyAlignment="1">
      <alignment horizontal="right" vertical="center"/>
    </xf>
    <xf numFmtId="3" fontId="7" fillId="7" borderId="0" xfId="5" applyNumberFormat="1" applyFont="1" applyFill="1" applyBorder="1" applyAlignment="1">
      <alignment horizontal="right" vertical="center"/>
    </xf>
    <xf numFmtId="3" fontId="14" fillId="9" borderId="0" xfId="5" applyNumberFormat="1" applyFont="1" applyFill="1" applyBorder="1" applyAlignment="1">
      <alignment horizontal="right" vertical="center"/>
    </xf>
    <xf numFmtId="3" fontId="6" fillId="9" borderId="3" xfId="2" applyNumberFormat="1" applyFont="1" applyFill="1" applyBorder="1" applyAlignment="1">
      <alignment horizontal="right" vertical="center"/>
    </xf>
    <xf numFmtId="3" fontId="6" fillId="9" borderId="1" xfId="3" applyNumberFormat="1" applyFont="1" applyFill="1" applyBorder="1" applyAlignment="1">
      <alignment horizontal="right" vertical="center"/>
    </xf>
    <xf numFmtId="3" fontId="9" fillId="9" borderId="1" xfId="3" applyNumberFormat="1" applyFont="1" applyFill="1" applyBorder="1" applyAlignment="1">
      <alignment horizontal="right" vertical="center"/>
    </xf>
    <xf numFmtId="14" fontId="17" fillId="0" borderId="0" xfId="1" applyNumberFormat="1" applyFont="1" applyFill="1" applyBorder="1" applyAlignment="1">
      <alignment horizontal="centerContinuous" vertical="center"/>
    </xf>
    <xf numFmtId="165" fontId="5" fillId="11" borderId="0" xfId="4" applyNumberFormat="1" applyFont="1" applyFill="1" applyBorder="1" applyAlignment="1">
      <alignment horizontal="right"/>
    </xf>
    <xf numFmtId="3" fontId="7" fillId="7" borderId="6" xfId="5" applyNumberFormat="1" applyFont="1" applyFill="1" applyBorder="1" applyAlignment="1">
      <alignment horizontal="right" vertical="center"/>
    </xf>
    <xf numFmtId="3" fontId="14" fillId="7" borderId="0" xfId="5" applyNumberFormat="1" applyFont="1" applyFill="1" applyBorder="1" applyAlignment="1">
      <alignment horizontal="right" vertical="center"/>
    </xf>
    <xf numFmtId="3" fontId="6" fillId="7" borderId="4" xfId="2" applyNumberFormat="1" applyFont="1" applyFill="1" applyBorder="1" applyAlignment="1">
      <alignment horizontal="right" vertical="center"/>
    </xf>
    <xf numFmtId="3" fontId="6" fillId="7" borderId="7" xfId="3" applyNumberFormat="1" applyFont="1" applyFill="1" applyBorder="1" applyAlignment="1">
      <alignment horizontal="right" vertical="center"/>
    </xf>
    <xf numFmtId="3" fontId="9" fillId="7" borderId="7" xfId="3" applyNumberFormat="1" applyFont="1" applyFill="1" applyBorder="1" applyAlignment="1">
      <alignment horizontal="right" vertical="center"/>
    </xf>
    <xf numFmtId="0" fontId="10" fillId="12" borderId="0" xfId="1" applyNumberFormat="1" applyFont="1" applyFill="1" applyAlignment="1">
      <alignment horizontal="center" vertical="center"/>
    </xf>
    <xf numFmtId="0" fontId="19" fillId="13" borderId="0" xfId="1" applyNumberFormat="1" applyFont="1" applyFill="1" applyAlignment="1">
      <alignment horizontal="center" vertical="center"/>
    </xf>
    <xf numFmtId="0" fontId="10" fillId="0" borderId="0" xfId="1" applyNumberFormat="1" applyFont="1" applyBorder="1" applyAlignment="1">
      <alignment vertical="center"/>
    </xf>
    <xf numFmtId="165" fontId="20" fillId="0" borderId="0" xfId="1" applyNumberFormat="1" applyFont="1" applyAlignment="1">
      <alignment vertical="center"/>
    </xf>
    <xf numFmtId="167" fontId="0" fillId="0" borderId="0" xfId="0" applyNumberFormat="1"/>
    <xf numFmtId="165" fontId="4" fillId="0" borderId="0" xfId="1" applyNumberFormat="1" applyFont="1" applyBorder="1" applyAlignment="1">
      <alignment horizontal="right" vertical="center"/>
    </xf>
    <xf numFmtId="164" fontId="23" fillId="14" borderId="0" xfId="1" quotePrefix="1" applyFont="1" applyFill="1" applyAlignment="1">
      <alignment horizontal="right" vertical="center"/>
    </xf>
    <xf numFmtId="3" fontId="6" fillId="9" borderId="4" xfId="2" applyNumberFormat="1" applyFont="1" applyFill="1" applyBorder="1" applyAlignment="1">
      <alignment horizontal="right" vertical="center"/>
    </xf>
    <xf numFmtId="3" fontId="6" fillId="9" borderId="7" xfId="3" applyNumberFormat="1" applyFont="1" applyFill="1" applyBorder="1" applyAlignment="1">
      <alignment horizontal="right" vertical="center"/>
    </xf>
    <xf numFmtId="3" fontId="9" fillId="9" borderId="7" xfId="3" applyNumberFormat="1" applyFont="1" applyFill="1" applyBorder="1" applyAlignment="1">
      <alignment horizontal="right" vertical="center"/>
    </xf>
    <xf numFmtId="3" fontId="7" fillId="9" borderId="8" xfId="5" applyNumberFormat="1" applyFont="1" applyFill="1" applyBorder="1" applyAlignment="1">
      <alignment horizontal="right" vertical="center"/>
    </xf>
    <xf numFmtId="3" fontId="8" fillId="9" borderId="9" xfId="5" applyNumberFormat="1" applyFont="1" applyFill="1" applyBorder="1" applyAlignment="1">
      <alignment horizontal="right" vertical="center"/>
    </xf>
    <xf numFmtId="3" fontId="14" fillId="9" borderId="10" xfId="5" applyNumberFormat="1" applyFont="1" applyFill="1" applyBorder="1" applyAlignment="1">
      <alignment horizontal="right" vertical="center"/>
    </xf>
    <xf numFmtId="3" fontId="7" fillId="15" borderId="6" xfId="5" applyNumberFormat="1" applyFont="1" applyFill="1" applyBorder="1" applyAlignment="1">
      <alignment horizontal="right" vertical="center"/>
    </xf>
    <xf numFmtId="3" fontId="8" fillId="15" borderId="0" xfId="5" applyNumberFormat="1" applyFont="1" applyFill="1" applyBorder="1" applyAlignment="1">
      <alignment horizontal="right" vertical="center"/>
    </xf>
    <xf numFmtId="3" fontId="7" fillId="15" borderId="4" xfId="5" applyNumberFormat="1" applyFont="1" applyFill="1" applyBorder="1" applyAlignment="1">
      <alignment horizontal="right" vertical="center"/>
    </xf>
    <xf numFmtId="3" fontId="14" fillId="15" borderId="0" xfId="5" applyNumberFormat="1" applyFont="1" applyFill="1" applyBorder="1" applyAlignment="1">
      <alignment horizontal="right" vertical="center"/>
    </xf>
    <xf numFmtId="3" fontId="7" fillId="15" borderId="0" xfId="5" applyNumberFormat="1" applyFont="1" applyFill="1" applyBorder="1" applyAlignment="1">
      <alignment horizontal="right" vertical="center"/>
    </xf>
    <xf numFmtId="3" fontId="6" fillId="15" borderId="4" xfId="2" applyNumberFormat="1" applyFont="1" applyFill="1" applyBorder="1" applyAlignment="1">
      <alignment horizontal="right" vertical="center"/>
    </xf>
    <xf numFmtId="3" fontId="6" fillId="15" borderId="7" xfId="3" applyNumberFormat="1" applyFont="1" applyFill="1" applyBorder="1" applyAlignment="1">
      <alignment horizontal="right" vertical="center"/>
    </xf>
    <xf numFmtId="3" fontId="9" fillId="15" borderId="7" xfId="3" applyNumberFormat="1" applyFont="1" applyFill="1" applyBorder="1" applyAlignment="1">
      <alignment horizontal="right" vertical="center"/>
    </xf>
    <xf numFmtId="3" fontId="0" fillId="0" borderId="0" xfId="0" applyNumberFormat="1" applyAlignment="1">
      <alignment vertical="center"/>
    </xf>
    <xf numFmtId="165" fontId="26" fillId="0" borderId="0" xfId="1" applyNumberFormat="1" applyFont="1" applyAlignment="1">
      <alignment horizontal="left" vertical="center"/>
    </xf>
    <xf numFmtId="165" fontId="4" fillId="0" borderId="0" xfId="1" applyNumberFormat="1" applyFont="1" applyAlignment="1">
      <alignment horizontal="left" vertical="center"/>
    </xf>
    <xf numFmtId="165" fontId="26" fillId="0" borderId="0" xfId="1" applyNumberFormat="1" applyFont="1" applyAlignment="1">
      <alignment vertical="center"/>
    </xf>
    <xf numFmtId="165" fontId="26" fillId="0" borderId="0" xfId="1" quotePrefix="1" applyNumberFormat="1" applyFont="1" applyAlignment="1">
      <alignment vertical="center"/>
    </xf>
    <xf numFmtId="164" fontId="23" fillId="14" borderId="0" xfId="1" quotePrefix="1" applyFont="1" applyFill="1" applyAlignment="1">
      <alignment horizontal="right" vertical="center" wrapText="1"/>
    </xf>
    <xf numFmtId="165" fontId="15" fillId="0" borderId="0" xfId="1" applyNumberFormat="1" applyFont="1" applyBorder="1" applyAlignment="1">
      <alignment horizontal="left" vertical="center"/>
    </xf>
    <xf numFmtId="165" fontId="10" fillId="0" borderId="0" xfId="1" applyNumberFormat="1" applyFont="1" applyBorder="1" applyAlignment="1">
      <alignment horizontal="left" vertical="center"/>
    </xf>
  </cellXfs>
  <cellStyles count="7">
    <cellStyle name="20% - Accent1" xfId="2" builtinId="30"/>
    <cellStyle name="20% - Accent2" xfId="3" builtinId="34"/>
    <cellStyle name="40% - Accent6" xfId="5" builtinId="51"/>
    <cellStyle name="Accent6" xfId="4" builtinId="49"/>
    <cellStyle name="Comma" xfId="1" builtinId="3"/>
    <cellStyle name="Euro" xfId="6" xr:uid="{00000000-0005-0000-0000-000005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42"/>
  <sheetViews>
    <sheetView tabSelected="1" zoomScale="90" zoomScaleNormal="90" workbookViewId="0">
      <pane xSplit="3" ySplit="3" topLeftCell="AN4" activePane="bottomRight" state="frozen"/>
      <selection pane="topRight" activeCell="D1" sqref="D1"/>
      <selection pane="bottomLeft" activeCell="A4" sqref="A4"/>
      <selection pane="bottomRight" activeCell="BA28" sqref="BA27:BA28"/>
    </sheetView>
  </sheetViews>
  <sheetFormatPr defaultColWidth="9.1796875" defaultRowHeight="13" x14ac:dyDescent="0.35"/>
  <cols>
    <col min="1" max="1" width="10" style="17" customWidth="1"/>
    <col min="2" max="2" width="30.6328125" style="7" customWidth="1"/>
    <col min="3" max="3" width="1.1796875" style="18" customWidth="1"/>
    <col min="4" max="6" width="10.81640625" style="7" customWidth="1"/>
    <col min="7" max="18" width="10.81640625" style="7" hidden="1" customWidth="1"/>
    <col min="19" max="19" width="10.81640625" style="7" customWidth="1"/>
    <col min="20" max="21" width="11.453125" style="7" customWidth="1"/>
    <col min="22" max="33" width="9.1796875" style="7" customWidth="1"/>
    <col min="34" max="34" width="21.08984375" style="7" hidden="1" customWidth="1"/>
    <col min="35" max="35" width="10.08984375" style="7" hidden="1" customWidth="1"/>
    <col min="36" max="49" width="10.08984375" style="7" customWidth="1"/>
    <col min="50" max="50" width="10.08984375" style="7" bestFit="1" customWidth="1"/>
    <col min="51" max="51" width="9.1796875" style="7"/>
    <col min="52" max="52" width="29.6328125" style="7" customWidth="1"/>
    <col min="53" max="16384" width="9.1796875" style="7"/>
  </cols>
  <sheetData>
    <row r="1" spans="1:53" ht="31.5" customHeight="1" x14ac:dyDescent="0.35">
      <c r="A1" s="36" t="s">
        <v>57</v>
      </c>
      <c r="B1" s="70" t="s">
        <v>53</v>
      </c>
      <c r="C1" s="71"/>
    </row>
    <row r="2" spans="1:53" x14ac:dyDescent="0.35"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8"/>
    </row>
    <row r="3" spans="1:53" s="8" customFormat="1" ht="38.25" customHeight="1" x14ac:dyDescent="0.35">
      <c r="A3" s="10"/>
      <c r="B3" s="1" t="s">
        <v>0</v>
      </c>
      <c r="C3" s="19"/>
      <c r="D3" s="43">
        <v>2021</v>
      </c>
      <c r="E3" s="43" t="s">
        <v>39</v>
      </c>
      <c r="F3" s="44" t="s">
        <v>40</v>
      </c>
      <c r="G3" s="44" t="s">
        <v>25</v>
      </c>
      <c r="H3" s="44" t="s">
        <v>26</v>
      </c>
      <c r="I3" s="44" t="s">
        <v>27</v>
      </c>
      <c r="J3" s="44" t="s">
        <v>28</v>
      </c>
      <c r="K3" s="44" t="s">
        <v>29</v>
      </c>
      <c r="L3" s="44" t="s">
        <v>30</v>
      </c>
      <c r="M3" s="44" t="s">
        <v>31</v>
      </c>
      <c r="N3" s="44" t="s">
        <v>32</v>
      </c>
      <c r="O3" s="44" t="s">
        <v>33</v>
      </c>
      <c r="P3" s="44" t="s">
        <v>34</v>
      </c>
      <c r="Q3" s="44" t="s">
        <v>35</v>
      </c>
      <c r="R3" s="44" t="s">
        <v>36</v>
      </c>
      <c r="S3" s="44" t="s">
        <v>40</v>
      </c>
      <c r="T3" s="49" t="s">
        <v>42</v>
      </c>
      <c r="U3" s="49" t="s">
        <v>25</v>
      </c>
      <c r="V3" s="49" t="s">
        <v>26</v>
      </c>
      <c r="W3" s="49" t="s">
        <v>27</v>
      </c>
      <c r="X3" s="49" t="s">
        <v>28</v>
      </c>
      <c r="Y3" s="49" t="s">
        <v>29</v>
      </c>
      <c r="Z3" s="49" t="s">
        <v>30</v>
      </c>
      <c r="AA3" s="49" t="s">
        <v>31</v>
      </c>
      <c r="AB3" s="49" t="s">
        <v>32</v>
      </c>
      <c r="AC3" s="49" t="s">
        <v>33</v>
      </c>
      <c r="AD3" s="49" t="s">
        <v>34</v>
      </c>
      <c r="AE3" s="49" t="s">
        <v>35</v>
      </c>
      <c r="AF3" s="49" t="s">
        <v>36</v>
      </c>
      <c r="AG3" s="49" t="s">
        <v>43</v>
      </c>
      <c r="AH3" s="8" t="s">
        <v>44</v>
      </c>
      <c r="AJ3" s="8" t="s">
        <v>25</v>
      </c>
      <c r="AK3" s="8" t="s">
        <v>26</v>
      </c>
      <c r="AL3" s="8" t="s">
        <v>27</v>
      </c>
      <c r="AM3" s="8" t="s">
        <v>28</v>
      </c>
      <c r="AN3" s="8" t="s">
        <v>29</v>
      </c>
      <c r="AO3" s="8" t="s">
        <v>30</v>
      </c>
      <c r="AP3" s="8" t="s">
        <v>31</v>
      </c>
      <c r="AQ3" s="8" t="s">
        <v>32</v>
      </c>
      <c r="AR3" s="69" t="s">
        <v>55</v>
      </c>
      <c r="AS3" s="8" t="s">
        <v>33</v>
      </c>
      <c r="AT3" s="8" t="s">
        <v>34</v>
      </c>
      <c r="AU3" s="8" t="s">
        <v>35</v>
      </c>
      <c r="AV3" s="8" t="s">
        <v>36</v>
      </c>
      <c r="AW3" s="49" t="s">
        <v>56</v>
      </c>
      <c r="AX3" s="49" t="s">
        <v>51</v>
      </c>
    </row>
    <row r="4" spans="1:53" s="2" customFormat="1" x14ac:dyDescent="0.3">
      <c r="A4" s="11"/>
      <c r="B4" s="5"/>
      <c r="C4" s="19"/>
      <c r="D4" s="26" t="s">
        <v>38</v>
      </c>
      <c r="E4" s="37" t="s">
        <v>37</v>
      </c>
      <c r="F4" s="26" t="s">
        <v>38</v>
      </c>
      <c r="G4" s="37" t="s">
        <v>37</v>
      </c>
      <c r="H4" s="37" t="s">
        <v>37</v>
      </c>
      <c r="I4" s="37" t="s">
        <v>37</v>
      </c>
      <c r="J4" s="37" t="s">
        <v>37</v>
      </c>
      <c r="K4" s="37" t="s">
        <v>37</v>
      </c>
      <c r="L4" s="37" t="s">
        <v>37</v>
      </c>
      <c r="M4" s="37" t="s">
        <v>37</v>
      </c>
      <c r="N4" s="37" t="s">
        <v>37</v>
      </c>
      <c r="O4" s="37" t="s">
        <v>37</v>
      </c>
      <c r="P4" s="37" t="s">
        <v>37</v>
      </c>
      <c r="Q4" s="37" t="s">
        <v>37</v>
      </c>
      <c r="R4" s="37" t="s">
        <v>37</v>
      </c>
      <c r="S4" s="37" t="s">
        <v>37</v>
      </c>
      <c r="T4" s="26" t="s">
        <v>38</v>
      </c>
      <c r="U4" s="37" t="s">
        <v>37</v>
      </c>
      <c r="V4" s="37" t="s">
        <v>37</v>
      </c>
      <c r="W4" s="37" t="s">
        <v>37</v>
      </c>
      <c r="X4" s="37" t="s">
        <v>37</v>
      </c>
      <c r="Y4" s="37" t="s">
        <v>37</v>
      </c>
      <c r="Z4" s="37" t="s">
        <v>37</v>
      </c>
      <c r="AA4" s="37" t="s">
        <v>37</v>
      </c>
      <c r="AB4" s="37" t="s">
        <v>37</v>
      </c>
      <c r="AC4" s="37" t="s">
        <v>37</v>
      </c>
      <c r="AD4" s="37" t="s">
        <v>37</v>
      </c>
      <c r="AE4" s="37" t="s">
        <v>37</v>
      </c>
      <c r="AF4" s="37" t="s">
        <v>37</v>
      </c>
      <c r="AG4" s="37" t="s">
        <v>37</v>
      </c>
      <c r="AW4" s="26"/>
      <c r="AX4" s="26" t="s">
        <v>52</v>
      </c>
      <c r="AY4" s="66"/>
      <c r="AZ4" s="66"/>
      <c r="BA4" s="65"/>
    </row>
    <row r="5" spans="1:53" s="8" customFormat="1" ht="22.5" customHeight="1" thickBot="1" x14ac:dyDescent="0.4">
      <c r="A5" s="12"/>
      <c r="B5" s="4" t="s">
        <v>1</v>
      </c>
      <c r="C5" s="20"/>
      <c r="D5" s="27">
        <v>318950</v>
      </c>
      <c r="E5" s="38">
        <v>62649</v>
      </c>
      <c r="F5" s="27">
        <v>295140</v>
      </c>
      <c r="G5" s="38">
        <f t="shared" ref="G5:J5" si="0">SUM(G6:G11)</f>
        <v>0</v>
      </c>
      <c r="H5" s="38">
        <f t="shared" si="0"/>
        <v>22263</v>
      </c>
      <c r="I5" s="38">
        <f t="shared" si="0"/>
        <v>327038</v>
      </c>
      <c r="J5" s="38">
        <f t="shared" si="0"/>
        <v>4950</v>
      </c>
      <c r="K5" s="38">
        <f>SUM(K6:K11)</f>
        <v>300</v>
      </c>
      <c r="L5" s="38">
        <f>SUM(L6:L11)</f>
        <v>6100</v>
      </c>
      <c r="M5" s="38">
        <f t="shared" ref="M5:R5" si="1">SUM(M6:M11)</f>
        <v>300</v>
      </c>
      <c r="N5" s="38">
        <f t="shared" si="1"/>
        <v>7500</v>
      </c>
      <c r="O5" s="38">
        <f t="shared" si="1"/>
        <v>300</v>
      </c>
      <c r="P5" s="38">
        <f t="shared" si="1"/>
        <v>1200</v>
      </c>
      <c r="Q5" s="38">
        <f t="shared" si="1"/>
        <v>0</v>
      </c>
      <c r="R5" s="38">
        <f t="shared" si="1"/>
        <v>0</v>
      </c>
      <c r="S5" s="38">
        <f t="shared" ref="S5:S11" si="2">SUM(G5:R5)</f>
        <v>369951</v>
      </c>
      <c r="T5" s="27">
        <f>SUM(T6:T11)</f>
        <v>330739</v>
      </c>
      <c r="U5" s="38">
        <f t="shared" ref="U5:X5" si="3">SUM(U6:U11)</f>
        <v>0</v>
      </c>
      <c r="V5" s="38">
        <f t="shared" si="3"/>
        <v>23075</v>
      </c>
      <c r="W5" s="38">
        <f t="shared" si="3"/>
        <v>320566</v>
      </c>
      <c r="X5" s="38">
        <f t="shared" si="3"/>
        <v>4950</v>
      </c>
      <c r="Y5" s="38">
        <f>SUM(Y6:Y11)</f>
        <v>300</v>
      </c>
      <c r="Z5" s="38">
        <f>SUM(Z6:Z11)</f>
        <v>6100</v>
      </c>
      <c r="AA5" s="38">
        <f t="shared" ref="AA5:AF5" si="4">SUM(AA6:AA11)</f>
        <v>300</v>
      </c>
      <c r="AB5" s="38">
        <f t="shared" si="4"/>
        <v>7500</v>
      </c>
      <c r="AC5" s="38">
        <f t="shared" si="4"/>
        <v>300</v>
      </c>
      <c r="AD5" s="38">
        <f t="shared" si="4"/>
        <v>1200</v>
      </c>
      <c r="AE5" s="38">
        <f t="shared" si="4"/>
        <v>0</v>
      </c>
      <c r="AF5" s="38">
        <f t="shared" si="4"/>
        <v>0</v>
      </c>
      <c r="AG5" s="38">
        <f t="shared" ref="AG5" si="5">SUM(U5:AF5)</f>
        <v>364291</v>
      </c>
      <c r="AJ5" s="38">
        <f t="shared" ref="AJ5:AM5" si="6">SUM(AJ6:AJ11)</f>
        <v>0</v>
      </c>
      <c r="AK5" s="38">
        <f t="shared" si="6"/>
        <v>23400</v>
      </c>
      <c r="AL5" s="38">
        <f t="shared" si="6"/>
        <v>356065.85714285716</v>
      </c>
      <c r="AM5" s="38">
        <f t="shared" si="6"/>
        <v>0</v>
      </c>
      <c r="AN5" s="38">
        <f>SUM(AN6:AN11)</f>
        <v>300</v>
      </c>
      <c r="AO5" s="38">
        <f>SUM(AO6:AO11)</f>
        <v>6100</v>
      </c>
      <c r="AP5" s="38">
        <f t="shared" ref="AP5:AQ5" si="7">SUM(AP6:AP11)</f>
        <v>300</v>
      </c>
      <c r="AQ5" s="38">
        <f t="shared" si="7"/>
        <v>0</v>
      </c>
      <c r="AR5" s="56">
        <f>SUM(AJ5:AQ5)</f>
        <v>386165.85714285716</v>
      </c>
      <c r="AS5" s="38">
        <f>SUM(AS6:AS11)</f>
        <v>300</v>
      </c>
      <c r="AT5" s="38">
        <f>SUM(AT6:AT11)</f>
        <v>1200</v>
      </c>
      <c r="AU5" s="38">
        <f>SUM(AU6:AU11)</f>
        <v>0</v>
      </c>
      <c r="AV5" s="38">
        <f>SUM(AV6:AV11)</f>
        <v>0</v>
      </c>
      <c r="AW5" s="53">
        <f>SUM(AR5:AV5)</f>
        <v>387665.85714285716</v>
      </c>
      <c r="AX5" s="53">
        <f>SUM(AX6:AX11)</f>
        <v>322360</v>
      </c>
      <c r="BA5" s="67"/>
    </row>
    <row r="6" spans="1:53" s="8" customFormat="1" ht="13.5" thickTop="1" x14ac:dyDescent="0.35">
      <c r="A6" s="13"/>
      <c r="B6" s="7" t="s">
        <v>19</v>
      </c>
      <c r="C6" s="18"/>
      <c r="D6" s="24">
        <v>5000</v>
      </c>
      <c r="E6" s="29">
        <v>4724</v>
      </c>
      <c r="F6" s="24">
        <v>4500</v>
      </c>
      <c r="G6" s="29"/>
      <c r="H6" s="29"/>
      <c r="I6" s="29">
        <v>300</v>
      </c>
      <c r="J6" s="29"/>
      <c r="K6" s="29">
        <v>300</v>
      </c>
      <c r="L6" s="29">
        <v>2100</v>
      </c>
      <c r="M6" s="29">
        <v>300</v>
      </c>
      <c r="N6" s="29">
        <v>0</v>
      </c>
      <c r="O6" s="29">
        <v>300</v>
      </c>
      <c r="P6" s="29">
        <v>1200</v>
      </c>
      <c r="Q6" s="29"/>
      <c r="R6" s="29"/>
      <c r="S6" s="29">
        <f t="shared" si="2"/>
        <v>4500</v>
      </c>
      <c r="T6" s="24">
        <v>4500</v>
      </c>
      <c r="U6" s="29"/>
      <c r="V6" s="29"/>
      <c r="W6" s="29">
        <v>300</v>
      </c>
      <c r="X6" s="29"/>
      <c r="Y6" s="29">
        <v>300</v>
      </c>
      <c r="Z6" s="29">
        <v>2100</v>
      </c>
      <c r="AA6" s="29">
        <v>300</v>
      </c>
      <c r="AB6" s="29">
        <v>0</v>
      </c>
      <c r="AC6" s="29">
        <v>300</v>
      </c>
      <c r="AD6" s="29">
        <v>1200</v>
      </c>
      <c r="AE6" s="29"/>
      <c r="AF6" s="29"/>
      <c r="AG6" s="29">
        <f>SUM(U6:AF6)</f>
        <v>4500</v>
      </c>
      <c r="AH6" s="8" t="s">
        <v>46</v>
      </c>
      <c r="AJ6" s="29"/>
      <c r="AK6" s="29"/>
      <c r="AL6" s="29">
        <v>300</v>
      </c>
      <c r="AM6" s="29"/>
      <c r="AN6" s="29">
        <v>300</v>
      </c>
      <c r="AO6" s="29">
        <v>2100</v>
      </c>
      <c r="AP6" s="29">
        <v>300</v>
      </c>
      <c r="AQ6" s="29">
        <v>0</v>
      </c>
      <c r="AR6" s="57">
        <f t="shared" ref="AR6:AR30" si="8">SUM(AJ6:AQ6)</f>
        <v>3000</v>
      </c>
      <c r="AS6" s="29">
        <v>300</v>
      </c>
      <c r="AT6" s="29">
        <v>1200</v>
      </c>
      <c r="AU6" s="29"/>
      <c r="AV6" s="29"/>
      <c r="AW6" s="24">
        <f t="shared" ref="AW6:AW30" si="9">SUM(AR6:AV6)</f>
        <v>4500</v>
      </c>
      <c r="AX6" s="24">
        <v>4500</v>
      </c>
      <c r="BA6" s="67"/>
    </row>
    <row r="7" spans="1:53" s="8" customFormat="1" x14ac:dyDescent="0.35">
      <c r="A7" s="13"/>
      <c r="B7" s="7" t="s">
        <v>15</v>
      </c>
      <c r="C7" s="18"/>
      <c r="D7" s="24">
        <v>42450</v>
      </c>
      <c r="E7" s="29">
        <v>42925</v>
      </c>
      <c r="F7" s="24">
        <v>42400</v>
      </c>
      <c r="G7" s="29"/>
      <c r="H7" s="29">
        <f>4944+4950+4919+2500+4950</f>
        <v>22263</v>
      </c>
      <c r="I7" s="29">
        <v>20000</v>
      </c>
      <c r="J7" s="29">
        <v>4950</v>
      </c>
      <c r="K7" s="29"/>
      <c r="L7" s="29">
        <v>4000</v>
      </c>
      <c r="M7" s="29"/>
      <c r="N7" s="29"/>
      <c r="O7" s="29"/>
      <c r="P7" s="29"/>
      <c r="Q7" s="29"/>
      <c r="R7" s="29"/>
      <c r="S7" s="29">
        <f>SUM(G7:R7)</f>
        <v>51213</v>
      </c>
      <c r="T7" s="24">
        <v>52000</v>
      </c>
      <c r="U7" s="29"/>
      <c r="V7" s="29">
        <f>2500+3025+4950+2100+2500+8000</f>
        <v>23075</v>
      </c>
      <c r="W7" s="29">
        <v>20000</v>
      </c>
      <c r="X7" s="29">
        <v>4950</v>
      </c>
      <c r="Y7" s="29"/>
      <c r="Z7" s="29">
        <v>4000</v>
      </c>
      <c r="AA7" s="29"/>
      <c r="AB7" s="29"/>
      <c r="AC7" s="29"/>
      <c r="AD7" s="29"/>
      <c r="AE7" s="29"/>
      <c r="AF7" s="29"/>
      <c r="AG7" s="29">
        <f>SUM(U7:AF7)</f>
        <v>52025</v>
      </c>
      <c r="AI7" s="8">
        <f>32500+14900</f>
        <v>47400</v>
      </c>
      <c r="AJ7" s="29"/>
      <c r="AK7" s="29">
        <f>2500+3025+4950+2100+2500+8000+325</f>
        <v>23400</v>
      </c>
      <c r="AL7" s="29">
        <v>20000</v>
      </c>
      <c r="AM7" s="29">
        <v>0</v>
      </c>
      <c r="AN7" s="29"/>
      <c r="AO7" s="29">
        <v>4000</v>
      </c>
      <c r="AP7" s="29"/>
      <c r="AQ7" s="29"/>
      <c r="AR7" s="57">
        <f t="shared" si="8"/>
        <v>47400</v>
      </c>
      <c r="AS7" s="29"/>
      <c r="AT7" s="29"/>
      <c r="AU7" s="29"/>
      <c r="AV7" s="29"/>
      <c r="AW7" s="24">
        <f t="shared" si="9"/>
        <v>47400</v>
      </c>
      <c r="AX7" s="24">
        <v>47400</v>
      </c>
      <c r="BA7" s="67"/>
    </row>
    <row r="8" spans="1:53" s="8" customFormat="1" x14ac:dyDescent="0.35">
      <c r="A8" s="13"/>
      <c r="B8" s="7" t="s">
        <v>16</v>
      </c>
      <c r="C8" s="18"/>
      <c r="D8" s="24">
        <v>7500</v>
      </c>
      <c r="E8" s="29">
        <v>15000</v>
      </c>
      <c r="F8" s="24">
        <v>15000</v>
      </c>
      <c r="G8" s="29"/>
      <c r="H8" s="29"/>
      <c r="I8" s="29"/>
      <c r="J8" s="29">
        <v>0</v>
      </c>
      <c r="K8" s="29">
        <v>0</v>
      </c>
      <c r="L8" s="29"/>
      <c r="M8" s="29"/>
      <c r="N8" s="29">
        <v>7500</v>
      </c>
      <c r="O8" s="29"/>
      <c r="P8" s="29"/>
      <c r="Q8" s="29"/>
      <c r="R8" s="29"/>
      <c r="S8" s="29">
        <f t="shared" si="2"/>
        <v>7500</v>
      </c>
      <c r="T8" s="24">
        <v>7500</v>
      </c>
      <c r="U8" s="29"/>
      <c r="V8" s="29"/>
      <c r="W8" s="29"/>
      <c r="X8" s="29">
        <v>0</v>
      </c>
      <c r="Y8" s="29">
        <v>0</v>
      </c>
      <c r="Z8" s="29"/>
      <c r="AA8" s="29"/>
      <c r="AB8" s="29">
        <v>7500</v>
      </c>
      <c r="AC8" s="29"/>
      <c r="AD8" s="29"/>
      <c r="AE8" s="29"/>
      <c r="AF8" s="29"/>
      <c r="AG8" s="29">
        <f t="shared" ref="AG8:AG10" si="10">SUM(U8:AF8)</f>
        <v>7500</v>
      </c>
      <c r="AJ8" s="29"/>
      <c r="AK8" s="29"/>
      <c r="AL8" s="29"/>
      <c r="AM8" s="29">
        <v>0</v>
      </c>
      <c r="AN8" s="29">
        <v>0</v>
      </c>
      <c r="AO8" s="29"/>
      <c r="AP8" s="29"/>
      <c r="AQ8" s="29">
        <v>0</v>
      </c>
      <c r="AR8" s="57">
        <f t="shared" si="8"/>
        <v>0</v>
      </c>
      <c r="AS8" s="29"/>
      <c r="AT8" s="29"/>
      <c r="AU8" s="29"/>
      <c r="AV8" s="29"/>
      <c r="AW8" s="24">
        <f t="shared" si="9"/>
        <v>0</v>
      </c>
      <c r="AX8" s="24"/>
      <c r="BA8" s="67"/>
    </row>
    <row r="9" spans="1:53" s="8" customFormat="1" x14ac:dyDescent="0.35">
      <c r="A9" s="13"/>
      <c r="B9" s="7" t="s">
        <v>17</v>
      </c>
      <c r="C9" s="18"/>
      <c r="D9" s="24">
        <v>264000</v>
      </c>
      <c r="E9" s="29">
        <v>0</v>
      </c>
      <c r="F9" s="24">
        <v>233240</v>
      </c>
      <c r="G9" s="29"/>
      <c r="H9" s="29"/>
      <c r="I9" s="29">
        <f>I20+95518</f>
        <v>306738</v>
      </c>
      <c r="J9" s="29"/>
      <c r="K9" s="29"/>
      <c r="L9" s="29"/>
      <c r="M9" s="29"/>
      <c r="N9" s="29"/>
      <c r="O9" s="29"/>
      <c r="P9" s="29"/>
      <c r="Q9" s="29"/>
      <c r="R9" s="29"/>
      <c r="S9" s="29">
        <f t="shared" si="2"/>
        <v>306738</v>
      </c>
      <c r="T9" s="24">
        <f>23*10000+3*8913</f>
        <v>256739</v>
      </c>
      <c r="U9" s="29"/>
      <c r="V9" s="29"/>
      <c r="W9" s="29">
        <f>W20+90046</f>
        <v>300266</v>
      </c>
      <c r="X9" s="29"/>
      <c r="Y9" s="29"/>
      <c r="Z9" s="29"/>
      <c r="AA9" s="29"/>
      <c r="AB9" s="29"/>
      <c r="AC9" s="29"/>
      <c r="AD9" s="29"/>
      <c r="AE9" s="29"/>
      <c r="AF9" s="29"/>
      <c r="AG9" s="29">
        <f t="shared" si="10"/>
        <v>300266</v>
      </c>
      <c r="AH9" s="8" t="s">
        <v>47</v>
      </c>
      <c r="AI9" s="8">
        <v>280000</v>
      </c>
      <c r="AJ9" s="29"/>
      <c r="AK9" s="29"/>
      <c r="AL9" s="29">
        <f>AL20+114443</f>
        <v>335765.85714285716</v>
      </c>
      <c r="AM9" s="29"/>
      <c r="AN9" s="29"/>
      <c r="AO9" s="29"/>
      <c r="AP9" s="29"/>
      <c r="AQ9" s="29"/>
      <c r="AR9" s="57">
        <f t="shared" si="8"/>
        <v>335765.85714285716</v>
      </c>
      <c r="AS9" s="29"/>
      <c r="AT9" s="29"/>
      <c r="AU9" s="29"/>
      <c r="AV9" s="29"/>
      <c r="AW9" s="24">
        <f t="shared" si="9"/>
        <v>335765.85714285716</v>
      </c>
      <c r="AX9" s="24">
        <v>269960</v>
      </c>
      <c r="BA9" s="67"/>
    </row>
    <row r="10" spans="1:53" s="8" customFormat="1" x14ac:dyDescent="0.35">
      <c r="A10" s="13"/>
      <c r="B10" s="7" t="s">
        <v>41</v>
      </c>
      <c r="C10" s="18"/>
      <c r="D10" s="24"/>
      <c r="E10" s="29">
        <v>0</v>
      </c>
      <c r="F10" s="24">
        <v>0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>
        <f t="shared" si="2"/>
        <v>0</v>
      </c>
      <c r="T10" s="24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>
        <f t="shared" si="10"/>
        <v>0</v>
      </c>
      <c r="AH10" s="8">
        <v>0</v>
      </c>
      <c r="AJ10" s="29"/>
      <c r="AK10" s="29"/>
      <c r="AL10" s="29"/>
      <c r="AM10" s="29"/>
      <c r="AN10" s="29"/>
      <c r="AO10" s="29"/>
      <c r="AP10" s="29"/>
      <c r="AQ10" s="29"/>
      <c r="AR10" s="57">
        <f t="shared" si="8"/>
        <v>0</v>
      </c>
      <c r="AS10" s="29"/>
      <c r="AT10" s="29"/>
      <c r="AU10" s="29"/>
      <c r="AV10" s="29"/>
      <c r="AW10" s="24">
        <f t="shared" si="9"/>
        <v>0</v>
      </c>
      <c r="AX10" s="24"/>
      <c r="BA10" s="67"/>
    </row>
    <row r="11" spans="1:53" s="8" customFormat="1" x14ac:dyDescent="0.35">
      <c r="A11" s="13"/>
      <c r="B11" s="7" t="s">
        <v>18</v>
      </c>
      <c r="C11" s="18"/>
      <c r="D11" s="24"/>
      <c r="E11" s="29">
        <v>0</v>
      </c>
      <c r="F11" s="24">
        <v>0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>
        <f t="shared" si="2"/>
        <v>0</v>
      </c>
      <c r="T11" s="24">
        <v>10000</v>
      </c>
      <c r="U11" s="29"/>
      <c r="V11" s="29"/>
      <c r="W11" s="29"/>
      <c r="X11" s="29"/>
      <c r="Y11" s="29"/>
      <c r="Z11" s="29"/>
      <c r="AA11" s="29"/>
      <c r="AB11" s="29"/>
      <c r="AC11" s="29">
        <v>0</v>
      </c>
      <c r="AD11" s="29"/>
      <c r="AE11" s="29"/>
      <c r="AF11" s="29"/>
      <c r="AG11" s="29">
        <f>SUM(U11:AF11)</f>
        <v>0</v>
      </c>
      <c r="AJ11" s="29"/>
      <c r="AK11" s="29"/>
      <c r="AL11" s="29"/>
      <c r="AM11" s="29"/>
      <c r="AN11" s="29"/>
      <c r="AO11" s="29"/>
      <c r="AP11" s="29"/>
      <c r="AQ11" s="29"/>
      <c r="AR11" s="57">
        <f t="shared" si="8"/>
        <v>0</v>
      </c>
      <c r="AS11" s="29">
        <v>0</v>
      </c>
      <c r="AT11" s="29"/>
      <c r="AU11" s="29"/>
      <c r="AV11" s="29"/>
      <c r="AW11" s="54">
        <f t="shared" si="9"/>
        <v>0</v>
      </c>
      <c r="AX11" s="54">
        <v>500</v>
      </c>
      <c r="BA11" s="67"/>
    </row>
    <row r="12" spans="1:53" s="8" customFormat="1" ht="22.5" customHeight="1" thickBot="1" x14ac:dyDescent="0.4">
      <c r="A12" s="12"/>
      <c r="B12" s="4" t="s">
        <v>2</v>
      </c>
      <c r="C12" s="20"/>
      <c r="D12" s="30">
        <v>318810</v>
      </c>
      <c r="E12" s="28">
        <f>E13+E14+E15+E21+E22</f>
        <v>92405.621782178219</v>
      </c>
      <c r="F12" s="30">
        <v>294900</v>
      </c>
      <c r="G12" s="28">
        <f t="shared" ref="G12:I12" si="11">G15+G21+G22</f>
        <v>6110.26</v>
      </c>
      <c r="H12" s="28">
        <f t="shared" si="11"/>
        <v>10494</v>
      </c>
      <c r="I12" s="28">
        <f t="shared" si="11"/>
        <v>217410.88249020296</v>
      </c>
      <c r="J12" s="28">
        <f>J15+J21+J22</f>
        <v>5977.92</v>
      </c>
      <c r="K12" s="28">
        <f t="shared" ref="K12:N12" si="12">K15+K21+K22</f>
        <v>6251.79</v>
      </c>
      <c r="L12" s="28">
        <f t="shared" si="12"/>
        <v>5990</v>
      </c>
      <c r="M12" s="28">
        <f t="shared" si="12"/>
        <v>5796.59</v>
      </c>
      <c r="N12" s="28">
        <f t="shared" si="12"/>
        <v>5735.44</v>
      </c>
      <c r="O12" s="28">
        <f>O15+O21+O22</f>
        <v>10419.200000000001</v>
      </c>
      <c r="P12" s="28">
        <f t="shared" ref="P12:S12" si="13">P15+P21+P22</f>
        <v>5870</v>
      </c>
      <c r="Q12" s="28">
        <f t="shared" si="13"/>
        <v>10820</v>
      </c>
      <c r="R12" s="28">
        <f t="shared" si="13"/>
        <v>5820</v>
      </c>
      <c r="S12" s="28">
        <f t="shared" si="13"/>
        <v>293196.08249020297</v>
      </c>
      <c r="T12" s="30">
        <f t="shared" ref="T12:W12" si="14">T15+T21+T22</f>
        <v>317390</v>
      </c>
      <c r="U12" s="28">
        <f t="shared" si="14"/>
        <v>22069.8</v>
      </c>
      <c r="V12" s="28">
        <f t="shared" si="14"/>
        <v>10838.900000000001</v>
      </c>
      <c r="W12" s="28">
        <f t="shared" si="14"/>
        <v>217589.7</v>
      </c>
      <c r="X12" s="28">
        <f>X15+X21+X22</f>
        <v>5893</v>
      </c>
      <c r="Y12" s="28">
        <f t="shared" ref="Y12:AB12" si="15">Y15+Y21+Y22</f>
        <v>10732</v>
      </c>
      <c r="Z12" s="28">
        <f t="shared" si="15"/>
        <v>6089</v>
      </c>
      <c r="AA12" s="28">
        <f t="shared" si="15"/>
        <v>5873</v>
      </c>
      <c r="AB12" s="28">
        <f t="shared" si="15"/>
        <v>5842.51</v>
      </c>
      <c r="AC12" s="28">
        <f>AC15+AC21+AC22</f>
        <v>12840</v>
      </c>
      <c r="AD12" s="28">
        <f t="shared" ref="AD12:AG12" si="16">AD15+AD21+AD22</f>
        <v>6020</v>
      </c>
      <c r="AE12" s="28">
        <f t="shared" si="16"/>
        <v>6020</v>
      </c>
      <c r="AF12" s="28">
        <f t="shared" si="16"/>
        <v>6020</v>
      </c>
      <c r="AG12" s="28">
        <f t="shared" si="16"/>
        <v>315827.91000000003</v>
      </c>
      <c r="AJ12" s="28">
        <f t="shared" ref="AJ12:AL12" si="17">AJ15+AJ21+AJ22</f>
        <v>6755.33</v>
      </c>
      <c r="AK12" s="28">
        <f t="shared" si="17"/>
        <v>10755.33</v>
      </c>
      <c r="AL12" s="28">
        <f t="shared" si="17"/>
        <v>227288.18714285712</v>
      </c>
      <c r="AM12" s="28">
        <f>AM15+AM21+AM22</f>
        <v>21557.33</v>
      </c>
      <c r="AN12" s="28">
        <f t="shared" ref="AN12:AQ12" si="18">AN15+AN21+AN22</f>
        <v>7755.33</v>
      </c>
      <c r="AO12" s="28">
        <f t="shared" si="18"/>
        <v>20755.330000000002</v>
      </c>
      <c r="AP12" s="28">
        <f t="shared" si="18"/>
        <v>7155.33</v>
      </c>
      <c r="AQ12" s="28">
        <f t="shared" si="18"/>
        <v>5955.33</v>
      </c>
      <c r="AR12" s="58">
        <f t="shared" si="8"/>
        <v>307977.49714285717</v>
      </c>
      <c r="AS12" s="28">
        <f>AS15+AS21+AS22</f>
        <v>6775.33</v>
      </c>
      <c r="AT12" s="28">
        <f t="shared" ref="AT12:AV12" si="19">AT15+AT21+AT22</f>
        <v>5955.33</v>
      </c>
      <c r="AU12" s="28">
        <f t="shared" si="19"/>
        <v>5955.33</v>
      </c>
      <c r="AV12" s="28">
        <f t="shared" si="19"/>
        <v>5955.33</v>
      </c>
      <c r="AW12" s="55">
        <f t="shared" si="9"/>
        <v>332618.81714285724</v>
      </c>
      <c r="AX12" s="55">
        <f>AX15+AX21+AX22</f>
        <v>303745</v>
      </c>
      <c r="BA12" s="67"/>
    </row>
    <row r="13" spans="1:53" s="8" customFormat="1" ht="13.5" thickTop="1" x14ac:dyDescent="0.35">
      <c r="A13" s="14"/>
      <c r="B13" s="6" t="s">
        <v>7</v>
      </c>
      <c r="C13" s="22"/>
      <c r="D13" s="32"/>
      <c r="E13" s="39">
        <v>0</v>
      </c>
      <c r="F13" s="32">
        <v>0</v>
      </c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>
        <f t="shared" ref="S13:S24" si="20">SUM(G13:R13)</f>
        <v>0</v>
      </c>
      <c r="T13" s="32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>
        <f t="shared" ref="AG13:AG22" si="21">SUM(U13:AF13)</f>
        <v>0</v>
      </c>
      <c r="AJ13" s="39"/>
      <c r="AK13" s="39"/>
      <c r="AL13" s="39"/>
      <c r="AM13" s="39"/>
      <c r="AN13" s="39"/>
      <c r="AO13" s="39"/>
      <c r="AP13" s="39"/>
      <c r="AQ13" s="39"/>
      <c r="AR13" s="59">
        <f t="shared" si="8"/>
        <v>0</v>
      </c>
      <c r="AS13" s="39"/>
      <c r="AT13" s="39"/>
      <c r="AU13" s="39"/>
      <c r="AV13" s="39"/>
      <c r="AW13" s="32">
        <f t="shared" si="9"/>
        <v>0</v>
      </c>
      <c r="AX13" s="32"/>
      <c r="BA13" s="67"/>
    </row>
    <row r="14" spans="1:53" s="8" customFormat="1" x14ac:dyDescent="0.35">
      <c r="A14" s="15"/>
      <c r="B14" s="6" t="s">
        <v>6</v>
      </c>
      <c r="C14" s="22"/>
      <c r="D14" s="25">
        <v>0</v>
      </c>
      <c r="E14" s="31">
        <v>0</v>
      </c>
      <c r="F14" s="25">
        <v>0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>
        <f t="shared" si="20"/>
        <v>0</v>
      </c>
      <c r="T14" s="25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>
        <f t="shared" si="21"/>
        <v>0</v>
      </c>
      <c r="AJ14" s="31"/>
      <c r="AK14" s="31"/>
      <c r="AL14" s="31"/>
      <c r="AM14" s="31"/>
      <c r="AN14" s="31"/>
      <c r="AO14" s="31"/>
      <c r="AP14" s="31"/>
      <c r="AQ14" s="31"/>
      <c r="AR14" s="60">
        <f t="shared" si="8"/>
        <v>0</v>
      </c>
      <c r="AS14" s="31"/>
      <c r="AT14" s="31"/>
      <c r="AU14" s="31"/>
      <c r="AV14" s="31"/>
      <c r="AW14" s="25">
        <f t="shared" si="9"/>
        <v>0</v>
      </c>
      <c r="AX14" s="25"/>
      <c r="BA14" s="67"/>
    </row>
    <row r="15" spans="1:53" s="8" customFormat="1" x14ac:dyDescent="0.35">
      <c r="A15" s="14"/>
      <c r="B15" s="6" t="s">
        <v>3</v>
      </c>
      <c r="C15" s="22"/>
      <c r="D15" s="25">
        <v>303510</v>
      </c>
      <c r="E15" s="31">
        <f>SUM(E16:E20)</f>
        <v>86754.621782178219</v>
      </c>
      <c r="F15" s="25">
        <v>291150</v>
      </c>
      <c r="G15" s="31">
        <f>SUM(G16:G20)</f>
        <v>6110.26</v>
      </c>
      <c r="H15" s="31">
        <f t="shared" ref="H15:J15" si="22">SUM(H16:H20)</f>
        <v>10474</v>
      </c>
      <c r="I15" s="31">
        <f t="shared" si="22"/>
        <v>217390.88249020296</v>
      </c>
      <c r="J15" s="31">
        <f t="shared" si="22"/>
        <v>5957.92</v>
      </c>
      <c r="K15" s="31">
        <f>SUM(K16:K20)</f>
        <v>6231.79</v>
      </c>
      <c r="L15" s="31">
        <f>SUM(L16:L20)</f>
        <v>5970</v>
      </c>
      <c r="M15" s="31">
        <f>SUM(M16:M20)</f>
        <v>5776.59</v>
      </c>
      <c r="N15" s="31">
        <f t="shared" ref="N15:R15" si="23">SUM(N16:N20)</f>
        <v>5715.44</v>
      </c>
      <c r="O15" s="31">
        <f t="shared" si="23"/>
        <v>10399.200000000001</v>
      </c>
      <c r="P15" s="31">
        <f t="shared" si="23"/>
        <v>5850</v>
      </c>
      <c r="Q15" s="31">
        <f t="shared" si="23"/>
        <v>7300</v>
      </c>
      <c r="R15" s="31">
        <f t="shared" si="23"/>
        <v>5800</v>
      </c>
      <c r="S15" s="31">
        <f t="shared" si="20"/>
        <v>292976.08249020297</v>
      </c>
      <c r="T15" s="25">
        <f>SUM(T16:T20)</f>
        <v>297140</v>
      </c>
      <c r="U15" s="31">
        <f>SUM(U16:U20)</f>
        <v>7247.8</v>
      </c>
      <c r="V15" s="31">
        <f t="shared" ref="V15:X15" si="24">SUM(V16:V20)</f>
        <v>10818.900000000001</v>
      </c>
      <c r="W15" s="31">
        <f t="shared" si="24"/>
        <v>217559.7</v>
      </c>
      <c r="X15" s="31">
        <f t="shared" si="24"/>
        <v>5873</v>
      </c>
      <c r="Y15" s="31">
        <f>SUM(Y16:Y20)</f>
        <v>10712</v>
      </c>
      <c r="Z15" s="31">
        <f>SUM(Z16:Z20)</f>
        <v>6069</v>
      </c>
      <c r="AA15" s="31">
        <f>SUM(AA16:AA20)</f>
        <v>5853</v>
      </c>
      <c r="AB15" s="31">
        <f t="shared" ref="AB15:AF15" si="25">SUM(AB16:AB20)</f>
        <v>5822.51</v>
      </c>
      <c r="AC15" s="31">
        <f t="shared" si="25"/>
        <v>12820</v>
      </c>
      <c r="AD15" s="31">
        <f t="shared" si="25"/>
        <v>6000</v>
      </c>
      <c r="AE15" s="31">
        <f t="shared" si="25"/>
        <v>6000</v>
      </c>
      <c r="AF15" s="31">
        <f t="shared" si="25"/>
        <v>6000</v>
      </c>
      <c r="AG15" s="31">
        <f t="shared" si="21"/>
        <v>300775.91000000003</v>
      </c>
      <c r="AJ15" s="31">
        <f>SUM(AJ16:AJ20)</f>
        <v>6735.33</v>
      </c>
      <c r="AK15" s="31">
        <f t="shared" ref="AK15:AM15" si="26">SUM(AK16:AK20)</f>
        <v>10735.33</v>
      </c>
      <c r="AL15" s="31">
        <f t="shared" si="26"/>
        <v>227258.18714285712</v>
      </c>
      <c r="AM15" s="31">
        <f t="shared" si="26"/>
        <v>6735.33</v>
      </c>
      <c r="AN15" s="31">
        <f>SUM(AN16:AN20)</f>
        <v>7735.33</v>
      </c>
      <c r="AO15" s="31">
        <f>SUM(AO16:AO20)</f>
        <v>20735.330000000002</v>
      </c>
      <c r="AP15" s="31">
        <f>SUM(AP16:AP20)</f>
        <v>7135.33</v>
      </c>
      <c r="AQ15" s="31">
        <f t="shared" ref="AQ15" si="27">SUM(AQ16:AQ20)</f>
        <v>5935.33</v>
      </c>
      <c r="AR15" s="60">
        <f t="shared" si="8"/>
        <v>293005.49714285712</v>
      </c>
      <c r="AS15" s="31">
        <f>SUM(AS16:AS20)</f>
        <v>6755.33</v>
      </c>
      <c r="AT15" s="31">
        <f>SUM(AT16:AT20)</f>
        <v>5935.33</v>
      </c>
      <c r="AU15" s="31">
        <f>SUM(AU16:AU20)</f>
        <v>5935.33</v>
      </c>
      <c r="AV15" s="31">
        <f>SUM(AV16:AV20)</f>
        <v>5935.33</v>
      </c>
      <c r="AW15" s="25">
        <f t="shared" si="9"/>
        <v>317566.81714285718</v>
      </c>
      <c r="AX15" s="25">
        <f>SUM(AX16:AX20)</f>
        <v>286245</v>
      </c>
      <c r="BA15" s="67"/>
    </row>
    <row r="16" spans="1:53" s="8" customFormat="1" x14ac:dyDescent="0.35">
      <c r="A16" s="16"/>
      <c r="B16" s="7" t="s">
        <v>12</v>
      </c>
      <c r="C16" s="18"/>
      <c r="D16" s="24">
        <v>2500</v>
      </c>
      <c r="E16" s="29">
        <v>2500</v>
      </c>
      <c r="F16" s="24">
        <v>1500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>
        <v>1500</v>
      </c>
      <c r="R16" s="29"/>
      <c r="S16" s="29">
        <f t="shared" si="20"/>
        <v>1500</v>
      </c>
      <c r="T16" s="24">
        <v>3500</v>
      </c>
      <c r="U16" s="29">
        <f>1454.5</f>
        <v>1454.5</v>
      </c>
      <c r="V16" s="29">
        <v>298.2</v>
      </c>
      <c r="W16" s="29">
        <v>1021.2</v>
      </c>
      <c r="X16" s="29"/>
      <c r="Y16" s="29"/>
      <c r="Z16" s="29"/>
      <c r="AA16" s="29"/>
      <c r="AB16" s="29"/>
      <c r="AC16" s="29">
        <v>0</v>
      </c>
      <c r="AD16" s="29"/>
      <c r="AE16" s="29"/>
      <c r="AF16" s="29"/>
      <c r="AG16" s="29">
        <f t="shared" si="21"/>
        <v>2773.9</v>
      </c>
      <c r="AJ16" s="29">
        <v>800</v>
      </c>
      <c r="AK16" s="29"/>
      <c r="AL16" s="29"/>
      <c r="AM16" s="29">
        <v>800</v>
      </c>
      <c r="AN16" s="29">
        <v>1800</v>
      </c>
      <c r="AO16" s="29"/>
      <c r="AP16" s="29"/>
      <c r="AQ16" s="29"/>
      <c r="AR16" s="57">
        <f t="shared" si="8"/>
        <v>3400</v>
      </c>
      <c r="AS16" s="29">
        <v>0</v>
      </c>
      <c r="AT16" s="29"/>
      <c r="AU16" s="29"/>
      <c r="AV16" s="29"/>
      <c r="AW16" s="24">
        <f t="shared" si="9"/>
        <v>3400</v>
      </c>
      <c r="AX16" s="24">
        <v>3400</v>
      </c>
      <c r="BA16" s="67"/>
    </row>
    <row r="17" spans="1:53" s="8" customFormat="1" x14ac:dyDescent="0.35">
      <c r="A17" s="13"/>
      <c r="B17" s="7" t="s">
        <v>4</v>
      </c>
      <c r="C17" s="18"/>
      <c r="D17" s="24">
        <v>70920</v>
      </c>
      <c r="E17" s="29">
        <v>73428</v>
      </c>
      <c r="F17" s="24">
        <v>69820</v>
      </c>
      <c r="G17" s="29">
        <f>4848/5037*6110.26</f>
        <v>5880.9887790351404</v>
      </c>
      <c r="H17" s="29">
        <f>4848/4925*5963</f>
        <v>5869.7713705583756</v>
      </c>
      <c r="I17" s="29">
        <f>4848/7512.48*9179</f>
        <v>5923.4489808957896</v>
      </c>
      <c r="J17" s="29">
        <f>4848/4999*5957.92</f>
        <v>5777.9548229645925</v>
      </c>
      <c r="K17" s="29">
        <f>4848/5229.45*6231.79</f>
        <v>5777.2266528984883</v>
      </c>
      <c r="L17" s="29">
        <f>4848/5009*5970</f>
        <v>5778.1113994809339</v>
      </c>
      <c r="M17" s="29">
        <f>4848/4982*5777</f>
        <v>5621.6170212765956</v>
      </c>
      <c r="N17" s="29">
        <f>4848/4929*5715</f>
        <v>5621.0833840535606</v>
      </c>
      <c r="O17" s="29">
        <f>4848/4929*5765</f>
        <v>5670.2617163724899</v>
      </c>
      <c r="P17" s="29">
        <v>5650</v>
      </c>
      <c r="Q17" s="29">
        <v>5650</v>
      </c>
      <c r="R17" s="29">
        <v>5650</v>
      </c>
      <c r="S17" s="29">
        <f t="shared" si="20"/>
        <v>68870.464127535961</v>
      </c>
      <c r="T17" s="24">
        <f>F17+1200</f>
        <v>71020</v>
      </c>
      <c r="U17" s="29">
        <v>5606</v>
      </c>
      <c r="V17" s="29">
        <v>5609</v>
      </c>
      <c r="W17" s="29">
        <v>5562</v>
      </c>
      <c r="X17" s="29">
        <f>4848/5049*5873</f>
        <v>5639.1966726084374</v>
      </c>
      <c r="Y17" s="29">
        <f>4848/9018*10712</f>
        <v>5758.6799733865601</v>
      </c>
      <c r="Z17" s="29">
        <f>4848/5086*6069</f>
        <v>5785.0003932363352</v>
      </c>
      <c r="AA17" s="29">
        <f>4848/4937*5853</f>
        <v>5747.4871379380193</v>
      </c>
      <c r="AB17" s="29">
        <f>4848/4937*5823</f>
        <v>5718.0279521976909</v>
      </c>
      <c r="AC17" s="29">
        <f>5750+1200+820</f>
        <v>7770</v>
      </c>
      <c r="AD17" s="29">
        <v>5750</v>
      </c>
      <c r="AE17" s="29">
        <v>5750</v>
      </c>
      <c r="AF17" s="29">
        <v>5750</v>
      </c>
      <c r="AG17" s="29">
        <f t="shared" si="21"/>
        <v>70445.392129367043</v>
      </c>
      <c r="AJ17" s="29">
        <v>5702</v>
      </c>
      <c r="AK17" s="29">
        <v>5702</v>
      </c>
      <c r="AL17" s="29">
        <v>5702</v>
      </c>
      <c r="AM17" s="29">
        <v>5702</v>
      </c>
      <c r="AN17" s="29">
        <v>5702</v>
      </c>
      <c r="AO17" s="29">
        <f>5702+10000</f>
        <v>15702</v>
      </c>
      <c r="AP17" s="29">
        <f>5702+1200</f>
        <v>6902</v>
      </c>
      <c r="AQ17" s="29">
        <v>5702</v>
      </c>
      <c r="AR17" s="57">
        <f t="shared" si="8"/>
        <v>56816</v>
      </c>
      <c r="AS17" s="29">
        <f>5702+820</f>
        <v>6522</v>
      </c>
      <c r="AT17" s="29">
        <v>5702</v>
      </c>
      <c r="AU17" s="29">
        <v>5702</v>
      </c>
      <c r="AV17" s="29">
        <v>5702</v>
      </c>
      <c r="AW17" s="24">
        <f t="shared" si="9"/>
        <v>80444</v>
      </c>
      <c r="AX17" s="24">
        <v>70445</v>
      </c>
      <c r="BA17" s="68"/>
    </row>
    <row r="18" spans="1:53" s="8" customFormat="1" x14ac:dyDescent="0.35">
      <c r="A18" s="13"/>
      <c r="B18" s="7" t="s">
        <v>24</v>
      </c>
      <c r="C18" s="18"/>
      <c r="D18" s="24">
        <v>8500</v>
      </c>
      <c r="E18" s="29">
        <v>8242</v>
      </c>
      <c r="F18" s="24">
        <v>8250</v>
      </c>
      <c r="G18" s="29"/>
      <c r="H18" s="29">
        <v>4511</v>
      </c>
      <c r="I18" s="29">
        <v>0</v>
      </c>
      <c r="J18" s="29">
        <v>0</v>
      </c>
      <c r="K18" s="29"/>
      <c r="L18" s="29"/>
      <c r="M18" s="29"/>
      <c r="N18" s="29"/>
      <c r="O18" s="29">
        <v>4634</v>
      </c>
      <c r="P18" s="29"/>
      <c r="Q18" s="29"/>
      <c r="R18" s="29"/>
      <c r="S18" s="29">
        <f t="shared" si="20"/>
        <v>9145</v>
      </c>
      <c r="T18" s="24">
        <v>9600</v>
      </c>
      <c r="U18" s="29"/>
      <c r="V18" s="29">
        <v>4800</v>
      </c>
      <c r="W18" s="29">
        <v>0</v>
      </c>
      <c r="X18" s="29">
        <v>0</v>
      </c>
      <c r="Y18" s="29"/>
      <c r="Z18" s="29"/>
      <c r="AA18" s="29"/>
      <c r="AB18" s="29"/>
      <c r="AC18" s="29">
        <v>4800</v>
      </c>
      <c r="AD18" s="29"/>
      <c r="AE18" s="29"/>
      <c r="AF18" s="29"/>
      <c r="AG18" s="29">
        <f t="shared" si="21"/>
        <v>9600</v>
      </c>
      <c r="AH18" s="8" t="s">
        <v>45</v>
      </c>
      <c r="AJ18" s="29"/>
      <c r="AK18" s="29">
        <v>4800</v>
      </c>
      <c r="AL18" s="29">
        <v>0</v>
      </c>
      <c r="AM18" s="29">
        <v>0</v>
      </c>
      <c r="AN18" s="29"/>
      <c r="AO18" s="29">
        <v>4800</v>
      </c>
      <c r="AP18" s="29"/>
      <c r="AQ18" s="29"/>
      <c r="AR18" s="57">
        <f t="shared" si="8"/>
        <v>9600</v>
      </c>
      <c r="AS18" s="29">
        <v>0</v>
      </c>
      <c r="AT18" s="29"/>
      <c r="AU18" s="29"/>
      <c r="AV18" s="29"/>
      <c r="AW18" s="24">
        <f t="shared" si="9"/>
        <v>9600</v>
      </c>
      <c r="AX18" s="24">
        <v>9600</v>
      </c>
      <c r="BA18" s="67"/>
    </row>
    <row r="19" spans="1:53" s="8" customFormat="1" x14ac:dyDescent="0.35">
      <c r="A19" s="13"/>
      <c r="B19" s="7" t="s">
        <v>20</v>
      </c>
      <c r="C19" s="18"/>
      <c r="D19" s="24">
        <v>9400</v>
      </c>
      <c r="E19" s="29">
        <v>2490</v>
      </c>
      <c r="F19" s="24">
        <v>2000</v>
      </c>
      <c r="G19" s="29">
        <f>6110.26-G17</f>
        <v>229.27122096485982</v>
      </c>
      <c r="H19" s="29">
        <f>5963-H17</f>
        <v>93.228629441624435</v>
      </c>
      <c r="I19" s="29">
        <f>(32+8.81+74.96+15.17+11.57+60)/7512.48*9179</f>
        <v>247.43350930717952</v>
      </c>
      <c r="J19" s="29">
        <f>5957.92-J17</f>
        <v>179.96517703540758</v>
      </c>
      <c r="K19" s="29">
        <f>6231.79-K17</f>
        <v>454.56334710151168</v>
      </c>
      <c r="L19" s="29">
        <f>5970-L17</f>
        <v>191.88860051906613</v>
      </c>
      <c r="M19" s="29">
        <f>5776.59-M17</f>
        <v>154.97297872340459</v>
      </c>
      <c r="N19" s="29">
        <f>5715.44-N17</f>
        <v>94.356615946438978</v>
      </c>
      <c r="O19" s="29">
        <f>5765.2-O17</f>
        <v>94.938283627509918</v>
      </c>
      <c r="P19" s="29">
        <v>200</v>
      </c>
      <c r="Q19" s="29">
        <v>150</v>
      </c>
      <c r="R19" s="29">
        <v>150</v>
      </c>
      <c r="S19" s="29">
        <f t="shared" si="20"/>
        <v>2240.6183626670027</v>
      </c>
      <c r="T19" s="24">
        <v>2800</v>
      </c>
      <c r="U19" s="29">
        <f>187.3</f>
        <v>187.3</v>
      </c>
      <c r="V19" s="29">
        <v>111.7</v>
      </c>
      <c r="W19" s="29">
        <v>756.5</v>
      </c>
      <c r="X19" s="29">
        <f>5873-X17</f>
        <v>233.80332739156256</v>
      </c>
      <c r="Y19" s="29">
        <f>10712-Y17</f>
        <v>4953.3200266134399</v>
      </c>
      <c r="Z19" s="29">
        <f>6069-Z17</f>
        <v>283.99960676366481</v>
      </c>
      <c r="AA19" s="29">
        <f>5853-AA17</f>
        <v>105.51286206198074</v>
      </c>
      <c r="AB19" s="29">
        <f>5822.51-AB17</f>
        <v>104.48204780230935</v>
      </c>
      <c r="AC19" s="29">
        <v>250</v>
      </c>
      <c r="AD19" s="29">
        <v>250</v>
      </c>
      <c r="AE19" s="29">
        <v>250</v>
      </c>
      <c r="AF19" s="29">
        <v>250</v>
      </c>
      <c r="AG19" s="29">
        <f>SUM(U19:AF19)</f>
        <v>7736.6178706329574</v>
      </c>
      <c r="AH19" s="8">
        <v>2800</v>
      </c>
      <c r="AJ19" s="29">
        <v>233.33</v>
      </c>
      <c r="AK19" s="29">
        <v>233.33</v>
      </c>
      <c r="AL19" s="29">
        <v>233.33</v>
      </c>
      <c r="AM19" s="29">
        <v>233.33</v>
      </c>
      <c r="AN19" s="29">
        <v>233.33</v>
      </c>
      <c r="AO19" s="29">
        <v>233.33</v>
      </c>
      <c r="AP19" s="29">
        <v>233.33</v>
      </c>
      <c r="AQ19" s="29">
        <v>233.33</v>
      </c>
      <c r="AR19" s="57">
        <f t="shared" si="8"/>
        <v>1866.6399999999999</v>
      </c>
      <c r="AS19" s="29">
        <v>233.33</v>
      </c>
      <c r="AT19" s="29">
        <v>233.33</v>
      </c>
      <c r="AU19" s="29">
        <v>233.33</v>
      </c>
      <c r="AV19" s="29">
        <v>233.33</v>
      </c>
      <c r="AW19" s="24">
        <f>SUM(AR19:AV19)</f>
        <v>2799.9599999999996</v>
      </c>
      <c r="AX19" s="24">
        <v>2800</v>
      </c>
      <c r="BA19" s="67"/>
    </row>
    <row r="20" spans="1:53" s="8" customFormat="1" x14ac:dyDescent="0.35">
      <c r="A20" s="13"/>
      <c r="B20" s="7" t="s">
        <v>21</v>
      </c>
      <c r="C20" s="18"/>
      <c r="D20" s="24">
        <v>212190</v>
      </c>
      <c r="E20" s="29">
        <v>94.621782178217828</v>
      </c>
      <c r="F20" s="24">
        <v>209580</v>
      </c>
      <c r="G20" s="29"/>
      <c r="H20" s="29"/>
      <c r="I20" s="29">
        <f>191500+3720+16000</f>
        <v>211220</v>
      </c>
      <c r="J20" s="29"/>
      <c r="K20" s="29"/>
      <c r="L20" s="29"/>
      <c r="M20" s="29">
        <v>0</v>
      </c>
      <c r="N20" s="29"/>
      <c r="O20" s="29"/>
      <c r="P20" s="29"/>
      <c r="Q20" s="29"/>
      <c r="R20" s="29"/>
      <c r="S20" s="29">
        <f t="shared" si="20"/>
        <v>211220</v>
      </c>
      <c r="T20" s="24">
        <f>26*720+191500</f>
        <v>210220</v>
      </c>
      <c r="U20" s="29"/>
      <c r="V20" s="29"/>
      <c r="W20" s="29">
        <v>210220</v>
      </c>
      <c r="X20" s="29"/>
      <c r="Y20" s="29"/>
      <c r="Z20" s="29"/>
      <c r="AA20" s="29">
        <v>0</v>
      </c>
      <c r="AB20" s="29"/>
      <c r="AC20" s="29"/>
      <c r="AD20" s="29"/>
      <c r="AE20" s="29"/>
      <c r="AF20" s="29"/>
      <c r="AG20" s="29">
        <f t="shared" si="21"/>
        <v>210220</v>
      </c>
      <c r="AH20" s="8" t="s">
        <v>50</v>
      </c>
      <c r="AJ20" s="29"/>
      <c r="AK20" s="29"/>
      <c r="AL20" s="29">
        <f>191500+((21000+4200+4500+1000)*34/35)</f>
        <v>221322.85714285713</v>
      </c>
      <c r="AM20" s="29"/>
      <c r="AN20" s="29"/>
      <c r="AO20" s="29"/>
      <c r="AP20" s="29">
        <v>0</v>
      </c>
      <c r="AQ20" s="29"/>
      <c r="AR20" s="57">
        <f t="shared" si="8"/>
        <v>221322.85714285713</v>
      </c>
      <c r="AS20" s="29"/>
      <c r="AT20" s="29"/>
      <c r="AU20" s="29"/>
      <c r="AV20" s="29"/>
      <c r="AW20" s="24">
        <f t="shared" si="9"/>
        <v>221322.85714285713</v>
      </c>
      <c r="AX20" s="24">
        <v>200000</v>
      </c>
      <c r="BA20" s="67"/>
    </row>
    <row r="21" spans="1:53" s="8" customFormat="1" x14ac:dyDescent="0.35">
      <c r="A21" s="12"/>
      <c r="B21" s="6" t="s">
        <v>5</v>
      </c>
      <c r="C21" s="22"/>
      <c r="D21" s="25">
        <v>2500</v>
      </c>
      <c r="E21" s="31">
        <v>2500</v>
      </c>
      <c r="F21" s="25">
        <v>250</v>
      </c>
      <c r="G21" s="31">
        <v>0</v>
      </c>
      <c r="H21" s="31">
        <v>20</v>
      </c>
      <c r="I21" s="31">
        <v>20</v>
      </c>
      <c r="J21" s="31">
        <v>20</v>
      </c>
      <c r="K21" s="31">
        <v>20</v>
      </c>
      <c r="L21" s="31">
        <v>20</v>
      </c>
      <c r="M21" s="31">
        <v>20</v>
      </c>
      <c r="N21" s="31">
        <v>20</v>
      </c>
      <c r="O21" s="31">
        <v>20</v>
      </c>
      <c r="P21" s="31">
        <v>20</v>
      </c>
      <c r="Q21" s="31">
        <v>20</v>
      </c>
      <c r="R21" s="31">
        <v>20</v>
      </c>
      <c r="S21" s="31">
        <f t="shared" si="20"/>
        <v>220</v>
      </c>
      <c r="T21" s="25">
        <v>250</v>
      </c>
      <c r="U21" s="31">
        <v>20</v>
      </c>
      <c r="V21" s="31">
        <v>20</v>
      </c>
      <c r="W21" s="31">
        <v>30</v>
      </c>
      <c r="X21" s="31">
        <v>20</v>
      </c>
      <c r="Y21" s="31">
        <v>20</v>
      </c>
      <c r="Z21" s="31">
        <v>20</v>
      </c>
      <c r="AA21" s="31">
        <v>20</v>
      </c>
      <c r="AB21" s="31">
        <v>20</v>
      </c>
      <c r="AC21" s="31">
        <v>20</v>
      </c>
      <c r="AD21" s="31">
        <v>20</v>
      </c>
      <c r="AE21" s="31">
        <v>20</v>
      </c>
      <c r="AF21" s="31">
        <v>20</v>
      </c>
      <c r="AG21" s="31">
        <f t="shared" si="21"/>
        <v>250</v>
      </c>
      <c r="AJ21" s="31">
        <v>20</v>
      </c>
      <c r="AK21" s="31">
        <v>20</v>
      </c>
      <c r="AL21" s="31">
        <v>30</v>
      </c>
      <c r="AM21" s="31">
        <v>20</v>
      </c>
      <c r="AN21" s="31">
        <v>20</v>
      </c>
      <c r="AO21" s="31">
        <v>20</v>
      </c>
      <c r="AP21" s="31">
        <v>20</v>
      </c>
      <c r="AQ21" s="31">
        <v>20</v>
      </c>
      <c r="AR21" s="60">
        <f t="shared" si="8"/>
        <v>170</v>
      </c>
      <c r="AS21" s="31">
        <v>20</v>
      </c>
      <c r="AT21" s="31">
        <v>20</v>
      </c>
      <c r="AU21" s="31">
        <v>20</v>
      </c>
      <c r="AV21" s="31">
        <v>20</v>
      </c>
      <c r="AW21" s="25">
        <f t="shared" si="9"/>
        <v>250</v>
      </c>
      <c r="AX21" s="25">
        <v>0</v>
      </c>
      <c r="BA21" s="67"/>
    </row>
    <row r="22" spans="1:53" s="8" customFormat="1" x14ac:dyDescent="0.35">
      <c r="A22" s="12"/>
      <c r="B22" s="6" t="s">
        <v>23</v>
      </c>
      <c r="C22" s="22"/>
      <c r="D22" s="25">
        <v>12800</v>
      </c>
      <c r="E22" s="31">
        <v>3151</v>
      </c>
      <c r="F22" s="25">
        <v>3500</v>
      </c>
      <c r="G22" s="31"/>
      <c r="H22" s="31"/>
      <c r="I22" s="31"/>
      <c r="J22" s="31"/>
      <c r="K22" s="31"/>
      <c r="L22" s="31"/>
      <c r="M22" s="31"/>
      <c r="N22" s="31"/>
      <c r="O22" s="31">
        <v>0</v>
      </c>
      <c r="P22" s="31"/>
      <c r="Q22" s="31">
        <v>3500</v>
      </c>
      <c r="R22" s="31"/>
      <c r="S22" s="31">
        <v>0</v>
      </c>
      <c r="T22" s="25">
        <v>20000</v>
      </c>
      <c r="U22" s="31">
        <v>14802</v>
      </c>
      <c r="V22" s="31"/>
      <c r="W22" s="31"/>
      <c r="X22" s="31"/>
      <c r="Y22" s="31"/>
      <c r="Z22" s="31"/>
      <c r="AA22" s="31"/>
      <c r="AB22" s="31"/>
      <c r="AC22" s="31">
        <v>0</v>
      </c>
      <c r="AD22" s="31"/>
      <c r="AE22" s="31"/>
      <c r="AF22" s="31"/>
      <c r="AG22" s="31">
        <f t="shared" si="21"/>
        <v>14802</v>
      </c>
      <c r="AH22" s="8" t="s">
        <v>48</v>
      </c>
      <c r="AI22" s="8" t="s">
        <v>49</v>
      </c>
      <c r="AJ22" s="31">
        <v>0</v>
      </c>
      <c r="AK22" s="31"/>
      <c r="AL22" s="31"/>
      <c r="AM22" s="31">
        <v>14802</v>
      </c>
      <c r="AN22" s="31"/>
      <c r="AO22" s="31"/>
      <c r="AP22" s="31"/>
      <c r="AQ22" s="31"/>
      <c r="AR22" s="60">
        <f t="shared" si="8"/>
        <v>14802</v>
      </c>
      <c r="AS22" s="31">
        <v>0</v>
      </c>
      <c r="AT22" s="31"/>
      <c r="AU22" s="31"/>
      <c r="AV22" s="31"/>
      <c r="AW22" s="25">
        <f t="shared" si="9"/>
        <v>14802</v>
      </c>
      <c r="AX22" s="25">
        <v>17500</v>
      </c>
      <c r="BA22" s="67"/>
    </row>
    <row r="23" spans="1:53" s="8" customFormat="1" ht="14.5" hidden="1" customHeight="1" thickBot="1" x14ac:dyDescent="0.4">
      <c r="A23" s="3"/>
      <c r="B23" s="9" t="s">
        <v>13</v>
      </c>
      <c r="C23" s="23"/>
      <c r="D23" s="25"/>
      <c r="E23" s="31">
        <v>0</v>
      </c>
      <c r="F23" s="25">
        <v>0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>
        <f t="shared" si="20"/>
        <v>0</v>
      </c>
      <c r="T23" s="25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>
        <f t="shared" ref="AG23:AG24" si="28">SUM(U23:AF23)</f>
        <v>0</v>
      </c>
      <c r="AJ23" s="31"/>
      <c r="AK23" s="31"/>
      <c r="AL23" s="31"/>
      <c r="AM23" s="31"/>
      <c r="AN23" s="31"/>
      <c r="AO23" s="31"/>
      <c r="AP23" s="31"/>
      <c r="AQ23" s="31"/>
      <c r="AR23" s="60">
        <f t="shared" si="8"/>
        <v>0</v>
      </c>
      <c r="AS23" s="31"/>
      <c r="AT23" s="31"/>
      <c r="AU23" s="31"/>
      <c r="AV23" s="31"/>
      <c r="AW23" s="25">
        <f t="shared" si="9"/>
        <v>0</v>
      </c>
      <c r="AX23" s="25"/>
      <c r="BA23" s="67"/>
    </row>
    <row r="24" spans="1:53" s="8" customFormat="1" ht="14.5" hidden="1" customHeight="1" thickBot="1" x14ac:dyDescent="0.4">
      <c r="A24" s="13"/>
      <c r="B24" s="9" t="s">
        <v>14</v>
      </c>
      <c r="C24" s="23"/>
      <c r="D24" s="25"/>
      <c r="E24" s="31">
        <v>0</v>
      </c>
      <c r="F24" s="25">
        <v>0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>
        <f t="shared" si="20"/>
        <v>0</v>
      </c>
      <c r="T24" s="25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>
        <f t="shared" si="28"/>
        <v>0</v>
      </c>
      <c r="AJ24" s="31"/>
      <c r="AK24" s="31"/>
      <c r="AL24" s="31"/>
      <c r="AM24" s="31"/>
      <c r="AN24" s="31"/>
      <c r="AO24" s="31"/>
      <c r="AP24" s="31"/>
      <c r="AQ24" s="31"/>
      <c r="AR24" s="60">
        <f t="shared" si="8"/>
        <v>0</v>
      </c>
      <c r="AS24" s="31"/>
      <c r="AT24" s="31"/>
      <c r="AU24" s="31"/>
      <c r="AV24" s="31"/>
      <c r="AW24" s="25">
        <f t="shared" si="9"/>
        <v>0</v>
      </c>
      <c r="AX24" s="25"/>
      <c r="BA24" s="67"/>
    </row>
    <row r="25" spans="1:53" s="8" customFormat="1" ht="21.75" customHeight="1" thickBot="1" x14ac:dyDescent="0.4">
      <c r="A25" s="12"/>
      <c r="B25" s="4" t="s">
        <v>8</v>
      </c>
      <c r="C25" s="20"/>
      <c r="D25" s="33">
        <v>140</v>
      </c>
      <c r="E25" s="40">
        <f>E5-E12</f>
        <v>-29756.621782178219</v>
      </c>
      <c r="F25" s="50">
        <v>240</v>
      </c>
      <c r="G25" s="40">
        <f t="shared" ref="G25:I25" si="29">G5-G12</f>
        <v>-6110.26</v>
      </c>
      <c r="H25" s="40">
        <f t="shared" si="29"/>
        <v>11769</v>
      </c>
      <c r="I25" s="40">
        <f t="shared" si="29"/>
        <v>109627.11750979704</v>
      </c>
      <c r="J25" s="40">
        <f>J5-J12</f>
        <v>-1027.92</v>
      </c>
      <c r="K25" s="40">
        <f t="shared" ref="K25:N25" si="30">K5-K12</f>
        <v>-5951.79</v>
      </c>
      <c r="L25" s="40">
        <f t="shared" si="30"/>
        <v>110</v>
      </c>
      <c r="M25" s="40">
        <f t="shared" si="30"/>
        <v>-5496.59</v>
      </c>
      <c r="N25" s="40">
        <f t="shared" si="30"/>
        <v>1764.5600000000004</v>
      </c>
      <c r="O25" s="40">
        <f>O5-O12</f>
        <v>-10119.200000000001</v>
      </c>
      <c r="P25" s="40">
        <f t="shared" ref="P25:S25" si="31">P5-P12</f>
        <v>-4670</v>
      </c>
      <c r="Q25" s="40">
        <f t="shared" si="31"/>
        <v>-10820</v>
      </c>
      <c r="R25" s="40">
        <f t="shared" si="31"/>
        <v>-5820</v>
      </c>
      <c r="S25" s="40">
        <f t="shared" si="31"/>
        <v>76754.917509797029</v>
      </c>
      <c r="T25" s="50">
        <f>T5-T12</f>
        <v>13349</v>
      </c>
      <c r="U25" s="40">
        <f t="shared" ref="U25:W25" si="32">U5-U12</f>
        <v>-22069.8</v>
      </c>
      <c r="V25" s="40">
        <f t="shared" si="32"/>
        <v>12236.099999999999</v>
      </c>
      <c r="W25" s="40">
        <f t="shared" si="32"/>
        <v>102976.29999999999</v>
      </c>
      <c r="X25" s="40">
        <f>X5-X12</f>
        <v>-943</v>
      </c>
      <c r="Y25" s="40">
        <f t="shared" ref="Y25:AB25" si="33">Y5-Y12</f>
        <v>-10432</v>
      </c>
      <c r="Z25" s="40">
        <f t="shared" si="33"/>
        <v>11</v>
      </c>
      <c r="AA25" s="40">
        <f t="shared" si="33"/>
        <v>-5573</v>
      </c>
      <c r="AB25" s="40">
        <f t="shared" si="33"/>
        <v>1657.4899999999998</v>
      </c>
      <c r="AC25" s="40">
        <f>AC5-AC12</f>
        <v>-12540</v>
      </c>
      <c r="AD25" s="40">
        <f t="shared" ref="AD25:AG25" si="34">AD5-AD12</f>
        <v>-4820</v>
      </c>
      <c r="AE25" s="40">
        <f t="shared" si="34"/>
        <v>-6020</v>
      </c>
      <c r="AF25" s="40">
        <f t="shared" si="34"/>
        <v>-6020</v>
      </c>
      <c r="AG25" s="40">
        <f t="shared" si="34"/>
        <v>48463.089999999967</v>
      </c>
      <c r="AJ25" s="40">
        <f t="shared" ref="AJ25:AL25" si="35">AJ5-AJ12</f>
        <v>-6755.33</v>
      </c>
      <c r="AK25" s="40">
        <f t="shared" si="35"/>
        <v>12644.67</v>
      </c>
      <c r="AL25" s="40">
        <f t="shared" si="35"/>
        <v>128777.67000000004</v>
      </c>
      <c r="AM25" s="40">
        <f>AM5-AM12</f>
        <v>-21557.33</v>
      </c>
      <c r="AN25" s="40">
        <f t="shared" ref="AN25:AQ25" si="36">AN5-AN12</f>
        <v>-7455.33</v>
      </c>
      <c r="AO25" s="40">
        <f t="shared" si="36"/>
        <v>-14655.330000000002</v>
      </c>
      <c r="AP25" s="40">
        <f t="shared" si="36"/>
        <v>-6855.33</v>
      </c>
      <c r="AQ25" s="40">
        <f t="shared" si="36"/>
        <v>-5955.33</v>
      </c>
      <c r="AR25" s="61">
        <f t="shared" si="8"/>
        <v>78188.36000000003</v>
      </c>
      <c r="AS25" s="40">
        <f>AS5-AS12</f>
        <v>-6475.33</v>
      </c>
      <c r="AT25" s="40">
        <f t="shared" ref="AT25:AV25" si="37">AT5-AT12</f>
        <v>-4755.33</v>
      </c>
      <c r="AU25" s="40">
        <f t="shared" si="37"/>
        <v>-5955.33</v>
      </c>
      <c r="AV25" s="40">
        <f t="shared" si="37"/>
        <v>-5955.33</v>
      </c>
      <c r="AW25" s="50">
        <f t="shared" si="9"/>
        <v>55047.040000000023</v>
      </c>
      <c r="AX25" s="50">
        <f t="shared" ref="AX25" si="38">AX5-AX12</f>
        <v>18615</v>
      </c>
      <c r="BA25" s="67"/>
    </row>
    <row r="26" spans="1:53" s="3" customFormat="1" ht="21" customHeight="1" thickTop="1" thickBot="1" x14ac:dyDescent="0.4">
      <c r="B26" s="4" t="s">
        <v>9</v>
      </c>
      <c r="C26" s="20"/>
      <c r="D26" s="33"/>
      <c r="E26" s="40">
        <v>0</v>
      </c>
      <c r="F26" s="50">
        <v>0</v>
      </c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>
        <f>SUM(G26:R26)</f>
        <v>0</v>
      </c>
      <c r="T26" s="5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>
        <f>SUM(U26:AF26)</f>
        <v>0</v>
      </c>
      <c r="AJ26" s="40"/>
      <c r="AK26" s="40"/>
      <c r="AL26" s="40"/>
      <c r="AM26" s="40"/>
      <c r="AN26" s="40"/>
      <c r="AO26" s="40"/>
      <c r="AP26" s="40"/>
      <c r="AQ26" s="40"/>
      <c r="AR26" s="61">
        <f t="shared" si="8"/>
        <v>0</v>
      </c>
      <c r="AS26" s="40"/>
      <c r="AT26" s="40"/>
      <c r="AU26" s="40"/>
      <c r="AV26" s="40"/>
      <c r="AW26" s="50">
        <f t="shared" si="9"/>
        <v>0</v>
      </c>
      <c r="AX26" s="50">
        <v>0</v>
      </c>
    </row>
    <row r="27" spans="1:53" s="3" customFormat="1" ht="15" thickTop="1" x14ac:dyDescent="0.35">
      <c r="B27" s="6" t="s">
        <v>10</v>
      </c>
      <c r="C27" s="22"/>
      <c r="D27" s="34"/>
      <c r="E27" s="41">
        <v>0</v>
      </c>
      <c r="F27" s="51">
        <v>0</v>
      </c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>
        <f>SUM(G27:R27)</f>
        <v>0</v>
      </c>
      <c r="T27" s="5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>
        <f>SUM(U27:AF27)</f>
        <v>0</v>
      </c>
      <c r="AJ27" s="41"/>
      <c r="AK27" s="41"/>
      <c r="AL27" s="41"/>
      <c r="AM27" s="41"/>
      <c r="AN27" s="41"/>
      <c r="AO27" s="41"/>
      <c r="AP27" s="41"/>
      <c r="AQ27" s="41"/>
      <c r="AR27" s="62">
        <f t="shared" si="8"/>
        <v>0</v>
      </c>
      <c r="AS27" s="41"/>
      <c r="AT27" s="41"/>
      <c r="AU27" s="41"/>
      <c r="AV27" s="41"/>
      <c r="AW27" s="51">
        <f t="shared" si="9"/>
        <v>0</v>
      </c>
      <c r="AX27" s="51">
        <v>0</v>
      </c>
    </row>
    <row r="28" spans="1:53" s="3" customFormat="1" ht="14.5" x14ac:dyDescent="0.35">
      <c r="B28" s="6" t="s">
        <v>11</v>
      </c>
      <c r="C28" s="22"/>
      <c r="D28" s="35"/>
      <c r="E28" s="42">
        <v>0</v>
      </c>
      <c r="F28" s="52">
        <v>0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>
        <f>SUM(G28:R28)</f>
        <v>0</v>
      </c>
      <c r="T28" s="5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>
        <f>SUM(U28:AF28)</f>
        <v>0</v>
      </c>
      <c r="AJ28" s="42"/>
      <c r="AK28" s="42"/>
      <c r="AL28" s="42"/>
      <c r="AM28" s="42"/>
      <c r="AN28" s="42"/>
      <c r="AO28" s="42"/>
      <c r="AP28" s="42"/>
      <c r="AQ28" s="42"/>
      <c r="AR28" s="63">
        <f t="shared" si="8"/>
        <v>0</v>
      </c>
      <c r="AS28" s="42"/>
      <c r="AT28" s="42"/>
      <c r="AU28" s="42"/>
      <c r="AV28" s="42"/>
      <c r="AW28" s="52">
        <f t="shared" si="9"/>
        <v>0</v>
      </c>
      <c r="AX28" s="52">
        <v>0</v>
      </c>
      <c r="AZ28" s="64"/>
    </row>
    <row r="29" spans="1:53" s="3" customFormat="1" ht="19.5" customHeight="1" thickBot="1" x14ac:dyDescent="0.4">
      <c r="B29" s="4" t="s">
        <v>22</v>
      </c>
      <c r="C29" s="20"/>
      <c r="D29" s="33"/>
      <c r="E29" s="40">
        <v>0</v>
      </c>
      <c r="F29" s="50">
        <v>0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>
        <f>SUM(G29:R29)</f>
        <v>0</v>
      </c>
      <c r="T29" s="5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>
        <f>SUM(U29:AF29)</f>
        <v>0</v>
      </c>
      <c r="AJ29" s="40"/>
      <c r="AK29" s="40"/>
      <c r="AL29" s="40"/>
      <c r="AM29" s="40"/>
      <c r="AN29" s="40"/>
      <c r="AO29" s="40"/>
      <c r="AP29" s="40"/>
      <c r="AQ29" s="40"/>
      <c r="AR29" s="61">
        <f t="shared" si="8"/>
        <v>0</v>
      </c>
      <c r="AS29" s="40"/>
      <c r="AT29" s="40"/>
      <c r="AU29" s="40"/>
      <c r="AV29" s="40"/>
      <c r="AW29" s="50">
        <f t="shared" si="9"/>
        <v>0</v>
      </c>
      <c r="AX29" s="50">
        <v>0</v>
      </c>
    </row>
    <row r="30" spans="1:53" s="3" customFormat="1" ht="21.75" customHeight="1" thickTop="1" thickBot="1" x14ac:dyDescent="0.4">
      <c r="B30" s="4" t="s">
        <v>8</v>
      </c>
      <c r="C30" s="20"/>
      <c r="D30" s="33">
        <v>140</v>
      </c>
      <c r="E30" s="40">
        <f>E25</f>
        <v>-29756.621782178219</v>
      </c>
      <c r="F30" s="50">
        <v>240</v>
      </c>
      <c r="G30" s="40">
        <f t="shared" ref="G30:S30" si="39">G25-G26-G29</f>
        <v>-6110.26</v>
      </c>
      <c r="H30" s="40">
        <f t="shared" si="39"/>
        <v>11769</v>
      </c>
      <c r="I30" s="40">
        <f t="shared" si="39"/>
        <v>109627.11750979704</v>
      </c>
      <c r="J30" s="40">
        <f t="shared" si="39"/>
        <v>-1027.92</v>
      </c>
      <c r="K30" s="40">
        <f t="shared" si="39"/>
        <v>-5951.79</v>
      </c>
      <c r="L30" s="40">
        <f t="shared" si="39"/>
        <v>110</v>
      </c>
      <c r="M30" s="40">
        <f t="shared" si="39"/>
        <v>-5496.59</v>
      </c>
      <c r="N30" s="40">
        <f t="shared" si="39"/>
        <v>1764.5600000000004</v>
      </c>
      <c r="O30" s="40">
        <f t="shared" si="39"/>
        <v>-10119.200000000001</v>
      </c>
      <c r="P30" s="40">
        <f t="shared" si="39"/>
        <v>-4670</v>
      </c>
      <c r="Q30" s="40">
        <f t="shared" si="39"/>
        <v>-10820</v>
      </c>
      <c r="R30" s="40">
        <f t="shared" si="39"/>
        <v>-5820</v>
      </c>
      <c r="S30" s="40">
        <f t="shared" si="39"/>
        <v>76754.917509797029</v>
      </c>
      <c r="T30" s="50">
        <f>T25</f>
        <v>13349</v>
      </c>
      <c r="U30" s="40">
        <f t="shared" ref="U30:AG30" si="40">U25-U26-U29</f>
        <v>-22069.8</v>
      </c>
      <c r="V30" s="40">
        <f t="shared" si="40"/>
        <v>12236.099999999999</v>
      </c>
      <c r="W30" s="40">
        <f t="shared" si="40"/>
        <v>102976.29999999999</v>
      </c>
      <c r="X30" s="40">
        <f t="shared" si="40"/>
        <v>-943</v>
      </c>
      <c r="Y30" s="40">
        <f t="shared" si="40"/>
        <v>-10432</v>
      </c>
      <c r="Z30" s="40">
        <f t="shared" si="40"/>
        <v>11</v>
      </c>
      <c r="AA30" s="40">
        <f t="shared" si="40"/>
        <v>-5573</v>
      </c>
      <c r="AB30" s="40">
        <f t="shared" si="40"/>
        <v>1657.4899999999998</v>
      </c>
      <c r="AC30" s="40">
        <f t="shared" si="40"/>
        <v>-12540</v>
      </c>
      <c r="AD30" s="40">
        <f t="shared" si="40"/>
        <v>-4820</v>
      </c>
      <c r="AE30" s="40">
        <f t="shared" si="40"/>
        <v>-6020</v>
      </c>
      <c r="AF30" s="40">
        <f t="shared" si="40"/>
        <v>-6020</v>
      </c>
      <c r="AG30" s="40">
        <f t="shared" si="40"/>
        <v>48463.089999999967</v>
      </c>
      <c r="AJ30" s="40">
        <f t="shared" ref="AJ30:AQ30" si="41">AJ25-AJ26-AJ29</f>
        <v>-6755.33</v>
      </c>
      <c r="AK30" s="40">
        <f t="shared" si="41"/>
        <v>12644.67</v>
      </c>
      <c r="AL30" s="40">
        <f t="shared" si="41"/>
        <v>128777.67000000004</v>
      </c>
      <c r="AM30" s="40">
        <f t="shared" si="41"/>
        <v>-21557.33</v>
      </c>
      <c r="AN30" s="40">
        <f t="shared" si="41"/>
        <v>-7455.33</v>
      </c>
      <c r="AO30" s="40">
        <f t="shared" si="41"/>
        <v>-14655.330000000002</v>
      </c>
      <c r="AP30" s="40">
        <f t="shared" si="41"/>
        <v>-6855.33</v>
      </c>
      <c r="AQ30" s="40">
        <f t="shared" si="41"/>
        <v>-5955.33</v>
      </c>
      <c r="AR30" s="61">
        <f t="shared" si="8"/>
        <v>78188.36000000003</v>
      </c>
      <c r="AS30" s="40">
        <f>AS25-AS26-AS29</f>
        <v>-6475.33</v>
      </c>
      <c r="AT30" s="40">
        <f>AT25-AT26-AT29</f>
        <v>-4755.33</v>
      </c>
      <c r="AU30" s="40">
        <f>AU25-AU26-AU29</f>
        <v>-5955.33</v>
      </c>
      <c r="AV30" s="40">
        <f>AV25-AV26-AV29</f>
        <v>-5955.33</v>
      </c>
      <c r="AW30" s="50">
        <f t="shared" si="9"/>
        <v>55047.040000000023</v>
      </c>
      <c r="AX30" s="50">
        <f t="shared" ref="AX30" si="42">AX25-AX26-AX29</f>
        <v>18615</v>
      </c>
    </row>
    <row r="31" spans="1:53" s="3" customFormat="1" ht="15" thickTop="1" x14ac:dyDescent="0.35">
      <c r="C31" s="21"/>
    </row>
    <row r="32" spans="1:53" s="8" customFormat="1" ht="14.5" x14ac:dyDescent="0.35">
      <c r="A32" s="17"/>
      <c r="B32" s="1" t="s">
        <v>54</v>
      </c>
      <c r="C32" s="1"/>
      <c r="E32"/>
      <c r="F32"/>
      <c r="I32" s="46"/>
    </row>
    <row r="34" spans="6:10" ht="14.5" x14ac:dyDescent="0.35">
      <c r="J34" s="47"/>
    </row>
    <row r="35" spans="6:10" ht="14.5" x14ac:dyDescent="0.35">
      <c r="F35" s="3"/>
      <c r="J35" s="47"/>
    </row>
    <row r="36" spans="6:10" ht="14.5" x14ac:dyDescent="0.35">
      <c r="F36" s="3"/>
      <c r="J36" s="47"/>
    </row>
    <row r="37" spans="6:10" ht="14.5" x14ac:dyDescent="0.35">
      <c r="F37" s="3"/>
    </row>
    <row r="38" spans="6:10" ht="14.5" x14ac:dyDescent="0.35">
      <c r="F38" s="3"/>
    </row>
    <row r="39" spans="6:10" ht="14.5" x14ac:dyDescent="0.35">
      <c r="F39" s="3"/>
    </row>
    <row r="40" spans="6:10" ht="14.5" x14ac:dyDescent="0.35">
      <c r="F40" s="3"/>
    </row>
    <row r="41" spans="6:10" ht="14.5" x14ac:dyDescent="0.35">
      <c r="F41" s="3"/>
    </row>
    <row r="42" spans="6:10" ht="14.5" x14ac:dyDescent="0.35">
      <c r="F42" s="3"/>
    </row>
  </sheetData>
  <mergeCells count="1">
    <mergeCell ref="B1:C1"/>
  </mergeCells>
  <phoneticPr fontId="18" type="noConversion"/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52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88E718FC3C354399F7EA979AC3495A" ma:contentTypeVersion="12" ma:contentTypeDescription="Create a new document." ma:contentTypeScope="" ma:versionID="b8ae4dee33d911bb46958f7140d93aaf">
  <xsd:schema xmlns:xsd="http://www.w3.org/2001/XMLSchema" xmlns:xs="http://www.w3.org/2001/XMLSchema" xmlns:p="http://schemas.microsoft.com/office/2006/metadata/properties" xmlns:ns3="8feaddaf-2884-4e18-b791-a600feee2b5c" xmlns:ns4="031c6955-fa1d-4074-8f60-2828488d479d" targetNamespace="http://schemas.microsoft.com/office/2006/metadata/properties" ma:root="true" ma:fieldsID="3d8839267c632cb98cc84c281162b85b" ns3:_="" ns4:_="">
    <xsd:import namespace="8feaddaf-2884-4e18-b791-a600feee2b5c"/>
    <xsd:import namespace="031c6955-fa1d-4074-8f60-2828488d47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addaf-2884-4e18-b791-a600feee2b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c6955-fa1d-4074-8f60-2828488d479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F210EA-9FCF-4197-A342-BBC4A8994761}">
  <ds:schemaRefs>
    <ds:schemaRef ds:uri="http://www.w3.org/XML/1998/namespace"/>
    <ds:schemaRef ds:uri="http://schemas.microsoft.com/office/2006/metadata/properties"/>
    <ds:schemaRef ds:uri="http://purl.org/dc/elements/1.1/"/>
    <ds:schemaRef ds:uri="8feaddaf-2884-4e18-b791-a600feee2b5c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31c6955-fa1d-4074-8f60-2828488d479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EFDF944-33BE-42A0-95D7-41CEDE38E8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eaddaf-2884-4e18-b791-a600feee2b5c"/>
    <ds:schemaRef ds:uri="031c6955-fa1d-4074-8f60-2828488d47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A4C2D5-A35E-4ECD-B0BF-72202DCDCD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Budget</vt:lpstr>
    </vt:vector>
  </TitlesOfParts>
  <Company>Fiscozone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CTAM Europe</cp:lastModifiedBy>
  <cp:lastPrinted>2018-06-18T13:27:25Z</cp:lastPrinted>
  <dcterms:created xsi:type="dcterms:W3CDTF">2012-01-30T10:05:59Z</dcterms:created>
  <dcterms:modified xsi:type="dcterms:W3CDTF">2024-03-09T14:27:16Z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0x0101003488E718FC3C354399F7EA979AC3495A</vt:lpwstr>
  </property>
</Properties>
</file>